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\Desktop\INFAD_HUZ_CP_2025\"/>
    </mc:Choice>
  </mc:AlternateContent>
  <bookViews>
    <workbookView xWindow="0" yWindow="0" windowWidth="23040" windowHeight="9072" activeTab="3"/>
  </bookViews>
  <sheets>
    <sheet name="Ene-Mar" sheetId="4" r:id="rId1"/>
    <sheet name="Abr-Jun" sheetId="11" r:id="rId2"/>
    <sheet name="Jul-Sep" sheetId="12" r:id="rId3"/>
    <sheet name="Oct-Dic" sheetId="13" r:id="rId4"/>
    <sheet name="Deudoras" sheetId="5" r:id="rId5"/>
    <sheet name="Acreedoras" sheetId="6" r:id="rId6"/>
  </sheets>
  <definedNames>
    <definedName name="_xlnm.Print_Area" localSheetId="1">'Abr-Jun'!$A$1:$L$42</definedName>
    <definedName name="_xlnm.Print_Area" localSheetId="0">'Ene-Mar'!$A$1:$L$51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3" l="1"/>
  <c r="I29" i="13"/>
  <c r="D27" i="13"/>
  <c r="W35" i="13"/>
  <c r="U35" i="13"/>
  <c r="U2" i="13" s="1"/>
  <c r="T35" i="13"/>
  <c r="S35" i="13"/>
  <c r="R35" i="13"/>
  <c r="R2" i="13" s="1"/>
  <c r="Q35" i="13"/>
  <c r="Q2" i="13" s="1"/>
  <c r="P35" i="13"/>
  <c r="O35" i="13"/>
  <c r="O2" i="13" s="1"/>
  <c r="N35" i="13"/>
  <c r="J35" i="13"/>
  <c r="H35" i="13"/>
  <c r="B35" i="13"/>
  <c r="X34" i="13"/>
  <c r="I34" i="13"/>
  <c r="K34" i="13" s="1"/>
  <c r="F34" i="13"/>
  <c r="D34" i="13"/>
  <c r="E34" i="13" s="1"/>
  <c r="C34" i="13"/>
  <c r="X33" i="13"/>
  <c r="L33" i="13"/>
  <c r="I33" i="13"/>
  <c r="K33" i="13" s="1"/>
  <c r="F33" i="13"/>
  <c r="D33" i="13"/>
  <c r="E33" i="13" s="1"/>
  <c r="C33" i="13"/>
  <c r="X32" i="13"/>
  <c r="X31" i="13"/>
  <c r="K31" i="13"/>
  <c r="F31" i="13"/>
  <c r="X30" i="13"/>
  <c r="I30" i="13"/>
  <c r="H30" i="13"/>
  <c r="F30" i="13"/>
  <c r="K30" i="13" s="1"/>
  <c r="E30" i="13"/>
  <c r="D30" i="13"/>
  <c r="L30" i="13" s="1"/>
  <c r="C30" i="13"/>
  <c r="X29" i="13"/>
  <c r="F29" i="13"/>
  <c r="K29" i="13" s="1"/>
  <c r="E29" i="13"/>
  <c r="D29" i="13"/>
  <c r="L29" i="13" s="1"/>
  <c r="X28" i="13"/>
  <c r="I28" i="13"/>
  <c r="D28" i="13"/>
  <c r="L28" i="13" s="1"/>
  <c r="C28" i="13"/>
  <c r="X27" i="13"/>
  <c r="I27" i="13"/>
  <c r="F27" i="13"/>
  <c r="K27" i="13" s="1"/>
  <c r="X25" i="13"/>
  <c r="I25" i="13" s="1"/>
  <c r="D25" i="13"/>
  <c r="L25" i="13" s="1"/>
  <c r="X24" i="13"/>
  <c r="I24" i="13" s="1"/>
  <c r="V24" i="13"/>
  <c r="V35" i="13" s="1"/>
  <c r="V2" i="13" s="1"/>
  <c r="D24" i="13"/>
  <c r="L24" i="13" s="1"/>
  <c r="X23" i="13"/>
  <c r="I23" i="13" s="1"/>
  <c r="D23" i="13"/>
  <c r="L23" i="13" s="1"/>
  <c r="X21" i="13"/>
  <c r="I21" i="13" s="1"/>
  <c r="L21" i="13"/>
  <c r="F21" i="13"/>
  <c r="E21" i="13"/>
  <c r="X20" i="13"/>
  <c r="L20" i="13"/>
  <c r="I20" i="13"/>
  <c r="F20" i="13"/>
  <c r="E20" i="13"/>
  <c r="X19" i="13"/>
  <c r="L19" i="13"/>
  <c r="I19" i="13"/>
  <c r="F19" i="13"/>
  <c r="K19" i="13" s="1"/>
  <c r="E19" i="13"/>
  <c r="X18" i="13"/>
  <c r="I18" i="13" s="1"/>
  <c r="L18" i="13"/>
  <c r="F18" i="13"/>
  <c r="E18" i="13"/>
  <c r="X17" i="13"/>
  <c r="I17" i="13" s="1"/>
  <c r="L17" i="13"/>
  <c r="F17" i="13"/>
  <c r="E17" i="13"/>
  <c r="X16" i="13"/>
  <c r="I16" i="13" s="1"/>
  <c r="L16" i="13"/>
  <c r="F16" i="13"/>
  <c r="E16" i="13"/>
  <c r="X15" i="13"/>
  <c r="L15" i="13"/>
  <c r="I15" i="13"/>
  <c r="F15" i="13"/>
  <c r="K15" i="13" s="1"/>
  <c r="E15" i="13"/>
  <c r="X14" i="13"/>
  <c r="I14" i="13" s="1"/>
  <c r="L14" i="13"/>
  <c r="F14" i="13"/>
  <c r="E14" i="13"/>
  <c r="X13" i="13"/>
  <c r="I13" i="13" s="1"/>
  <c r="L13" i="13"/>
  <c r="F13" i="13"/>
  <c r="E13" i="13"/>
  <c r="X12" i="13"/>
  <c r="I12" i="13" s="1"/>
  <c r="L12" i="13"/>
  <c r="F12" i="13"/>
  <c r="E12" i="13"/>
  <c r="X11" i="13"/>
  <c r="L11" i="13"/>
  <c r="I11" i="13"/>
  <c r="F11" i="13"/>
  <c r="K11" i="13" s="1"/>
  <c r="E11" i="13"/>
  <c r="X10" i="13"/>
  <c r="I10" i="13" s="1"/>
  <c r="L10" i="13"/>
  <c r="F10" i="13"/>
  <c r="K10" i="13" s="1"/>
  <c r="E10" i="13"/>
  <c r="X9" i="13"/>
  <c r="I9" i="13" s="1"/>
  <c r="L9" i="13"/>
  <c r="F9" i="13"/>
  <c r="E9" i="13"/>
  <c r="X8" i="13"/>
  <c r="I8" i="13" s="1"/>
  <c r="L8" i="13"/>
  <c r="F8" i="13"/>
  <c r="X7" i="13"/>
  <c r="L7" i="13"/>
  <c r="I7" i="13"/>
  <c r="G35" i="13"/>
  <c r="F7" i="13"/>
  <c r="E7" i="13"/>
  <c r="B6" i="13"/>
  <c r="W2" i="13"/>
  <c r="T2" i="13"/>
  <c r="S2" i="13"/>
  <c r="P2" i="13"/>
  <c r="N2" i="13"/>
  <c r="D8" i="12"/>
  <c r="D38" i="6"/>
  <c r="D35" i="5"/>
  <c r="X8" i="12"/>
  <c r="H36" i="12"/>
  <c r="K13" i="13" l="1"/>
  <c r="K12" i="13"/>
  <c r="X35" i="13"/>
  <c r="X2" i="13" s="1"/>
  <c r="K21" i="13"/>
  <c r="K20" i="13"/>
  <c r="K18" i="13"/>
  <c r="K17" i="13"/>
  <c r="K16" i="13"/>
  <c r="K7" i="13"/>
  <c r="K8" i="13"/>
  <c r="F6" i="13"/>
  <c r="F35" i="13"/>
  <c r="K14" i="13"/>
  <c r="K9" i="13"/>
  <c r="L34" i="13"/>
  <c r="I35" i="13"/>
  <c r="E24" i="13"/>
  <c r="D6" i="13"/>
  <c r="E23" i="13"/>
  <c r="F24" i="13"/>
  <c r="K24" i="13" s="1"/>
  <c r="F25" i="13"/>
  <c r="K25" i="13" s="1"/>
  <c r="E25" i="13"/>
  <c r="F23" i="13"/>
  <c r="K23" i="13" s="1"/>
  <c r="E27" i="13"/>
  <c r="E28" i="13"/>
  <c r="F28" i="13"/>
  <c r="K28" i="13" s="1"/>
  <c r="E8" i="13"/>
  <c r="L27" i="13"/>
  <c r="D35" i="13"/>
  <c r="L35" i="13" s="1"/>
  <c r="F9" i="12"/>
  <c r="K35" i="13" l="1"/>
  <c r="H14" i="12"/>
  <c r="G7" i="12"/>
  <c r="V24" i="12"/>
  <c r="D23" i="12" l="1"/>
  <c r="W35" i="12"/>
  <c r="V35" i="12"/>
  <c r="V2" i="12" s="1"/>
  <c r="U35" i="12"/>
  <c r="U2" i="12" s="1"/>
  <c r="T35" i="12"/>
  <c r="S35" i="12"/>
  <c r="S2" i="12" s="1"/>
  <c r="R35" i="12"/>
  <c r="Q35" i="12"/>
  <c r="Q2" i="12" s="1"/>
  <c r="P35" i="12"/>
  <c r="P2" i="12" s="1"/>
  <c r="N35" i="12"/>
  <c r="N2" i="12" s="1"/>
  <c r="J35" i="12"/>
  <c r="G35" i="12"/>
  <c r="D35" i="12"/>
  <c r="L35" i="12" s="1"/>
  <c r="B35" i="12"/>
  <c r="X34" i="12"/>
  <c r="I34" i="12"/>
  <c r="D34" i="12"/>
  <c r="F34" i="12" s="1"/>
  <c r="K34" i="12" s="1"/>
  <c r="C34" i="12"/>
  <c r="X33" i="12"/>
  <c r="I33" i="12"/>
  <c r="D33" i="12"/>
  <c r="F33" i="12" s="1"/>
  <c r="K33" i="12" s="1"/>
  <c r="C33" i="12"/>
  <c r="X32" i="12"/>
  <c r="X31" i="12"/>
  <c r="L31" i="12"/>
  <c r="K31" i="12"/>
  <c r="F31" i="12"/>
  <c r="X30" i="12"/>
  <c r="I30" i="12" s="1"/>
  <c r="H30" i="12"/>
  <c r="H35" i="12" s="1"/>
  <c r="E30" i="12"/>
  <c r="D30" i="12"/>
  <c r="L30" i="12" s="1"/>
  <c r="C30" i="12"/>
  <c r="F30" i="12" s="1"/>
  <c r="K30" i="12" s="1"/>
  <c r="X29" i="12"/>
  <c r="I29" i="12"/>
  <c r="E29" i="12"/>
  <c r="D29" i="12"/>
  <c r="F29" i="12" s="1"/>
  <c r="K29" i="12" s="1"/>
  <c r="X28" i="12"/>
  <c r="I28" i="12" s="1"/>
  <c r="D28" i="12"/>
  <c r="F28" i="12" s="1"/>
  <c r="K28" i="12" s="1"/>
  <c r="C28" i="12"/>
  <c r="X27" i="12"/>
  <c r="I27" i="12" s="1"/>
  <c r="D27" i="12"/>
  <c r="F27" i="12" s="1"/>
  <c r="X25" i="12"/>
  <c r="I25" i="12" s="1"/>
  <c r="L25" i="12"/>
  <c r="F25" i="12"/>
  <c r="K25" i="12" s="1"/>
  <c r="E25" i="12"/>
  <c r="D25" i="12"/>
  <c r="X24" i="12"/>
  <c r="I24" i="12" s="1"/>
  <c r="E24" i="12"/>
  <c r="D24" i="12"/>
  <c r="L24" i="12" s="1"/>
  <c r="X23" i="12"/>
  <c r="L23" i="12"/>
  <c r="I23" i="12"/>
  <c r="F23" i="12"/>
  <c r="K23" i="12" s="1"/>
  <c r="X21" i="12"/>
  <c r="I21" i="12" s="1"/>
  <c r="L21" i="12"/>
  <c r="F21" i="12"/>
  <c r="K21" i="12" s="1"/>
  <c r="E21" i="12"/>
  <c r="X20" i="12"/>
  <c r="L20" i="12"/>
  <c r="I20" i="12"/>
  <c r="F20" i="12"/>
  <c r="K20" i="12" s="1"/>
  <c r="E20" i="12"/>
  <c r="X19" i="12"/>
  <c r="I19" i="12" s="1"/>
  <c r="L19" i="12"/>
  <c r="F19" i="12"/>
  <c r="E19" i="12"/>
  <c r="X18" i="12"/>
  <c r="I18" i="12" s="1"/>
  <c r="L18" i="12"/>
  <c r="F18" i="12"/>
  <c r="E18" i="12"/>
  <c r="X17" i="12"/>
  <c r="I17" i="12" s="1"/>
  <c r="L17" i="12"/>
  <c r="F17" i="12"/>
  <c r="E17" i="12"/>
  <c r="X16" i="12"/>
  <c r="L16" i="12"/>
  <c r="I16" i="12"/>
  <c r="F16" i="12"/>
  <c r="K16" i="12" s="1"/>
  <c r="E16" i="12"/>
  <c r="X15" i="12"/>
  <c r="I15" i="12" s="1"/>
  <c r="L15" i="12"/>
  <c r="F15" i="12"/>
  <c r="E15" i="12"/>
  <c r="X14" i="12"/>
  <c r="I14" i="12" s="1"/>
  <c r="L14" i="12"/>
  <c r="F14" i="12"/>
  <c r="E14" i="12"/>
  <c r="X13" i="12"/>
  <c r="I13" i="12" s="1"/>
  <c r="L13" i="12"/>
  <c r="F13" i="12"/>
  <c r="E13" i="12"/>
  <c r="X12" i="12"/>
  <c r="L12" i="12"/>
  <c r="I12" i="12"/>
  <c r="F12" i="12"/>
  <c r="E12" i="12"/>
  <c r="X11" i="12"/>
  <c r="I11" i="12" s="1"/>
  <c r="L11" i="12"/>
  <c r="F11" i="12"/>
  <c r="E11" i="12"/>
  <c r="X10" i="12"/>
  <c r="I10" i="12" s="1"/>
  <c r="L10" i="12"/>
  <c r="F10" i="12"/>
  <c r="E10" i="12"/>
  <c r="X9" i="12"/>
  <c r="I9" i="12" s="1"/>
  <c r="L9" i="12"/>
  <c r="E9" i="12"/>
  <c r="O35" i="12"/>
  <c r="O2" i="12" s="1"/>
  <c r="L8" i="12"/>
  <c r="F8" i="12"/>
  <c r="E8" i="12"/>
  <c r="X7" i="12"/>
  <c r="L7" i="12"/>
  <c r="I7" i="12"/>
  <c r="F7" i="12"/>
  <c r="K7" i="12" s="1"/>
  <c r="E7" i="12"/>
  <c r="D6" i="12"/>
  <c r="B6" i="12"/>
  <c r="W2" i="12"/>
  <c r="T2" i="12"/>
  <c r="R2" i="12"/>
  <c r="V8" i="11"/>
  <c r="O8" i="11"/>
  <c r="O9" i="11"/>
  <c r="K12" i="12" l="1"/>
  <c r="X35" i="12"/>
  <c r="X2" i="12" s="1"/>
  <c r="I8" i="12"/>
  <c r="K8" i="12" s="1"/>
  <c r="K18" i="12"/>
  <c r="K14" i="12"/>
  <c r="K10" i="12"/>
  <c r="K9" i="12"/>
  <c r="K11" i="12"/>
  <c r="K13" i="12"/>
  <c r="K15" i="12"/>
  <c r="K17" i="12"/>
  <c r="K19" i="12"/>
  <c r="K27" i="12"/>
  <c r="L33" i="12"/>
  <c r="L34" i="12"/>
  <c r="F6" i="12"/>
  <c r="E23" i="12"/>
  <c r="F24" i="12"/>
  <c r="K24" i="12" s="1"/>
  <c r="L29" i="12"/>
  <c r="L27" i="12"/>
  <c r="L28" i="12"/>
  <c r="E33" i="12"/>
  <c r="E34" i="12"/>
  <c r="F35" i="12"/>
  <c r="E27" i="12"/>
  <c r="E28" i="12"/>
  <c r="H36" i="11"/>
  <c r="D29" i="11"/>
  <c r="D28" i="11"/>
  <c r="G7" i="11"/>
  <c r="X20" i="11"/>
  <c r="I20" i="11" s="1"/>
  <c r="L20" i="11"/>
  <c r="F20" i="11"/>
  <c r="E20" i="11"/>
  <c r="W35" i="11"/>
  <c r="W2" i="11" s="1"/>
  <c r="V35" i="11"/>
  <c r="V2" i="11" s="1"/>
  <c r="U35" i="11"/>
  <c r="U2" i="11" s="1"/>
  <c r="T35" i="11"/>
  <c r="S35" i="11"/>
  <c r="S2" i="11" s="1"/>
  <c r="R35" i="11"/>
  <c r="R2" i="11" s="1"/>
  <c r="Q35" i="11"/>
  <c r="Q2" i="11" s="1"/>
  <c r="P35" i="11"/>
  <c r="P2" i="11" s="1"/>
  <c r="O35" i="11"/>
  <c r="O2" i="11" s="1"/>
  <c r="N35" i="11"/>
  <c r="N2" i="11" s="1"/>
  <c r="J35" i="11"/>
  <c r="G35" i="11"/>
  <c r="D35" i="11"/>
  <c r="L35" i="11" s="1"/>
  <c r="B35" i="11"/>
  <c r="X34" i="11"/>
  <c r="I34" i="11" s="1"/>
  <c r="D34" i="11"/>
  <c r="C34" i="11"/>
  <c r="X33" i="11"/>
  <c r="I33" i="11" s="1"/>
  <c r="D33" i="11"/>
  <c r="C33" i="11"/>
  <c r="X32" i="11"/>
  <c r="X31" i="11"/>
  <c r="I31" i="11" s="1"/>
  <c r="L31" i="11"/>
  <c r="F31" i="11"/>
  <c r="K31" i="11" s="1"/>
  <c r="X30" i="11"/>
  <c r="I30" i="11" s="1"/>
  <c r="H30" i="11"/>
  <c r="D30" i="11"/>
  <c r="E30" i="11" s="1"/>
  <c r="C30" i="11"/>
  <c r="F30" i="11" s="1"/>
  <c r="X29" i="11"/>
  <c r="I29" i="11" s="1"/>
  <c r="L29" i="11"/>
  <c r="F29" i="11"/>
  <c r="E29" i="11"/>
  <c r="X28" i="11"/>
  <c r="I28" i="11" s="1"/>
  <c r="E28" i="11"/>
  <c r="C28" i="11"/>
  <c r="F28" i="11" s="1"/>
  <c r="X27" i="11"/>
  <c r="I27" i="11" s="1"/>
  <c r="D27" i="11"/>
  <c r="F27" i="11" s="1"/>
  <c r="K27" i="11" s="1"/>
  <c r="X25" i="11"/>
  <c r="I25" i="11"/>
  <c r="D25" i="11"/>
  <c r="L25" i="11" s="1"/>
  <c r="X24" i="11"/>
  <c r="I24" i="11" s="1"/>
  <c r="H35" i="11"/>
  <c r="D24" i="11"/>
  <c r="L24" i="11" s="1"/>
  <c r="X23" i="11"/>
  <c r="I23" i="11" s="1"/>
  <c r="D23" i="11"/>
  <c r="F23" i="11" s="1"/>
  <c r="X21" i="11"/>
  <c r="I21" i="11" s="1"/>
  <c r="L21" i="11"/>
  <c r="F21" i="11"/>
  <c r="E21" i="11"/>
  <c r="X19" i="11"/>
  <c r="I19" i="11" s="1"/>
  <c r="L19" i="11"/>
  <c r="F19" i="11"/>
  <c r="E19" i="11"/>
  <c r="X18" i="11"/>
  <c r="I18" i="11" s="1"/>
  <c r="L18" i="11"/>
  <c r="F18" i="11"/>
  <c r="E18" i="11"/>
  <c r="X17" i="11"/>
  <c r="I17" i="11" s="1"/>
  <c r="L17" i="11"/>
  <c r="F17" i="11"/>
  <c r="E17" i="11"/>
  <c r="X16" i="11"/>
  <c r="I16" i="11" s="1"/>
  <c r="L16" i="11"/>
  <c r="F16" i="11"/>
  <c r="K16" i="11" s="1"/>
  <c r="E16" i="11"/>
  <c r="X15" i="11"/>
  <c r="I15" i="11" s="1"/>
  <c r="L15" i="11"/>
  <c r="F15" i="11"/>
  <c r="E15" i="11"/>
  <c r="X14" i="11"/>
  <c r="I14" i="11" s="1"/>
  <c r="L14" i="11"/>
  <c r="F14" i="11"/>
  <c r="K14" i="11" s="1"/>
  <c r="E14" i="11"/>
  <c r="X13" i="11"/>
  <c r="I13" i="11" s="1"/>
  <c r="L13" i="11"/>
  <c r="F13" i="11"/>
  <c r="E13" i="11"/>
  <c r="X12" i="11"/>
  <c r="I12" i="11" s="1"/>
  <c r="L12" i="11"/>
  <c r="F12" i="11"/>
  <c r="K12" i="11" s="1"/>
  <c r="E12" i="11"/>
  <c r="X11" i="11"/>
  <c r="I11" i="11" s="1"/>
  <c r="L11" i="11"/>
  <c r="F11" i="11"/>
  <c r="E11" i="11"/>
  <c r="X10" i="11"/>
  <c r="I10" i="11" s="1"/>
  <c r="L10" i="11"/>
  <c r="F10" i="11"/>
  <c r="K10" i="11" s="1"/>
  <c r="E10" i="11"/>
  <c r="X9" i="11"/>
  <c r="I9" i="11" s="1"/>
  <c r="L9" i="11"/>
  <c r="F9" i="11"/>
  <c r="E9" i="11"/>
  <c r="X8" i="11"/>
  <c r="L8" i="11"/>
  <c r="F8" i="11"/>
  <c r="E8" i="11"/>
  <c r="X7" i="11"/>
  <c r="I7" i="11" s="1"/>
  <c r="L7" i="11"/>
  <c r="F7" i="11"/>
  <c r="E7" i="11"/>
  <c r="D6" i="11"/>
  <c r="B6" i="11"/>
  <c r="T2" i="11"/>
  <c r="G7" i="4"/>
  <c r="G44" i="4" s="1"/>
  <c r="H45" i="4" s="1"/>
  <c r="I45" i="4"/>
  <c r="D39" i="4"/>
  <c r="C39" i="4"/>
  <c r="X19" i="4"/>
  <c r="L19" i="4"/>
  <c r="I19" i="4"/>
  <c r="F19" i="4"/>
  <c r="K19" i="4" s="1"/>
  <c r="E19" i="4"/>
  <c r="D6" i="4"/>
  <c r="D31" i="4"/>
  <c r="L31" i="4"/>
  <c r="D30" i="4"/>
  <c r="E30" i="4" s="1"/>
  <c r="D32" i="4"/>
  <c r="L32" i="4" s="1"/>
  <c r="D34" i="4"/>
  <c r="L34" i="4" s="1"/>
  <c r="D33" i="4"/>
  <c r="L33" i="4" s="1"/>
  <c r="D29" i="4"/>
  <c r="E29" i="4" s="1"/>
  <c r="D28" i="4"/>
  <c r="L28" i="4" s="1"/>
  <c r="D27" i="4"/>
  <c r="D26" i="4"/>
  <c r="F26" i="4" s="1"/>
  <c r="D25" i="4"/>
  <c r="D24" i="4"/>
  <c r="L24" i="4" s="1"/>
  <c r="D23" i="4"/>
  <c r="L23" i="4" s="1"/>
  <c r="D22" i="4"/>
  <c r="L22" i="4" s="1"/>
  <c r="H31" i="4"/>
  <c r="X34" i="4"/>
  <c r="I34" i="4" s="1"/>
  <c r="X33" i="4"/>
  <c r="I33" i="4" s="1"/>
  <c r="X32" i="4"/>
  <c r="I32" i="4" s="1"/>
  <c r="X31" i="4"/>
  <c r="I31" i="4"/>
  <c r="F31" i="4"/>
  <c r="K31" i="4" s="1"/>
  <c r="E31" i="4"/>
  <c r="X30" i="4"/>
  <c r="I30" i="4" s="1"/>
  <c r="X29" i="4"/>
  <c r="I29" i="4" s="1"/>
  <c r="X28" i="4"/>
  <c r="I28" i="4" s="1"/>
  <c r="F28" i="4"/>
  <c r="E28" i="4"/>
  <c r="X27" i="4"/>
  <c r="L27" i="4"/>
  <c r="I27" i="4"/>
  <c r="F27" i="4"/>
  <c r="E27" i="4"/>
  <c r="X26" i="4"/>
  <c r="I26" i="4" s="1"/>
  <c r="L26" i="4"/>
  <c r="E26" i="4"/>
  <c r="X25" i="4"/>
  <c r="I25" i="4" s="1"/>
  <c r="L25" i="4"/>
  <c r="F25" i="4"/>
  <c r="K25" i="4" s="1"/>
  <c r="E25" i="4"/>
  <c r="X24" i="4"/>
  <c r="I24" i="4" s="1"/>
  <c r="X23" i="4"/>
  <c r="I23" i="4"/>
  <c r="F23" i="4"/>
  <c r="E23" i="4"/>
  <c r="X22" i="4"/>
  <c r="I22" i="4" s="1"/>
  <c r="W44" i="4"/>
  <c r="W2" i="4" s="1"/>
  <c r="V44" i="4"/>
  <c r="V2" i="4" s="1"/>
  <c r="U44" i="4"/>
  <c r="U2" i="4" s="1"/>
  <c r="T44" i="4"/>
  <c r="T2" i="4" s="1"/>
  <c r="S44" i="4"/>
  <c r="S2" i="4" s="1"/>
  <c r="R44" i="4"/>
  <c r="R2" i="4" s="1"/>
  <c r="Q44" i="4"/>
  <c r="Q2" i="4" s="1"/>
  <c r="P44" i="4"/>
  <c r="P2" i="4" s="1"/>
  <c r="N44" i="4"/>
  <c r="N2" i="4" s="1"/>
  <c r="J44" i="4"/>
  <c r="D44" i="4"/>
  <c r="L44" i="4" s="1"/>
  <c r="B44" i="4"/>
  <c r="X43" i="4"/>
  <c r="I43" i="4" s="1"/>
  <c r="D43" i="4"/>
  <c r="E43" i="4" s="1"/>
  <c r="C43" i="4"/>
  <c r="F43" i="4" s="1"/>
  <c r="X42" i="4"/>
  <c r="I42" i="4" s="1"/>
  <c r="D42" i="4"/>
  <c r="E42" i="4" s="1"/>
  <c r="C42" i="4"/>
  <c r="F42" i="4" s="1"/>
  <c r="K42" i="4" s="1"/>
  <c r="X41" i="4"/>
  <c r="X40" i="4"/>
  <c r="I40" i="4" s="1"/>
  <c r="L40" i="4"/>
  <c r="F40" i="4"/>
  <c r="X39" i="4"/>
  <c r="L39" i="4"/>
  <c r="I39" i="4"/>
  <c r="H39" i="4"/>
  <c r="F39" i="4"/>
  <c r="E39" i="4"/>
  <c r="X38" i="4"/>
  <c r="I38" i="4" s="1"/>
  <c r="L38" i="4"/>
  <c r="G38" i="4"/>
  <c r="F38" i="4"/>
  <c r="E38" i="4"/>
  <c r="X37" i="4"/>
  <c r="I37" i="4" s="1"/>
  <c r="G37" i="4"/>
  <c r="E37" i="4"/>
  <c r="C37" i="4"/>
  <c r="L37" i="4" s="1"/>
  <c r="X36" i="4"/>
  <c r="I36" i="4" s="1"/>
  <c r="D36" i="4"/>
  <c r="F36" i="4" s="1"/>
  <c r="X20" i="4"/>
  <c r="I20" i="4" s="1"/>
  <c r="L20" i="4"/>
  <c r="F20" i="4"/>
  <c r="E20" i="4"/>
  <c r="X18" i="4"/>
  <c r="I18" i="4" s="1"/>
  <c r="L18" i="4"/>
  <c r="F18" i="4"/>
  <c r="E18" i="4"/>
  <c r="X17" i="4"/>
  <c r="I17" i="4" s="1"/>
  <c r="L17" i="4"/>
  <c r="F17" i="4"/>
  <c r="E17" i="4"/>
  <c r="X16" i="4"/>
  <c r="I16" i="4" s="1"/>
  <c r="L16" i="4"/>
  <c r="F16" i="4"/>
  <c r="E16" i="4"/>
  <c r="X15" i="4"/>
  <c r="L15" i="4"/>
  <c r="I15" i="4"/>
  <c r="F15" i="4"/>
  <c r="E15" i="4"/>
  <c r="X14" i="4"/>
  <c r="L14" i="4"/>
  <c r="I14" i="4"/>
  <c r="F14" i="4"/>
  <c r="E14" i="4"/>
  <c r="X13" i="4"/>
  <c r="I13" i="4" s="1"/>
  <c r="L13" i="4"/>
  <c r="F13" i="4"/>
  <c r="E13" i="4"/>
  <c r="X12" i="4"/>
  <c r="I12" i="4" s="1"/>
  <c r="L12" i="4"/>
  <c r="F12" i="4"/>
  <c r="E12" i="4"/>
  <c r="X11" i="4"/>
  <c r="I11" i="4" s="1"/>
  <c r="L11" i="4"/>
  <c r="F11" i="4"/>
  <c r="E11" i="4"/>
  <c r="X10" i="4"/>
  <c r="I10" i="4" s="1"/>
  <c r="L10" i="4"/>
  <c r="F10" i="4"/>
  <c r="E10" i="4"/>
  <c r="L9" i="4"/>
  <c r="F9" i="4"/>
  <c r="E9" i="4"/>
  <c r="X8" i="4"/>
  <c r="I8" i="4" s="1"/>
  <c r="L8" i="4"/>
  <c r="F8" i="4"/>
  <c r="E8" i="4"/>
  <c r="X7" i="4"/>
  <c r="L7" i="4"/>
  <c r="I7" i="4"/>
  <c r="F7" i="4"/>
  <c r="E7" i="4"/>
  <c r="B6" i="4"/>
  <c r="I35" i="12" l="1"/>
  <c r="I36" i="12" s="1"/>
  <c r="K35" i="12"/>
  <c r="K20" i="11"/>
  <c r="K29" i="11"/>
  <c r="L23" i="11"/>
  <c r="K30" i="11"/>
  <c r="F34" i="11"/>
  <c r="K34" i="11" s="1"/>
  <c r="K28" i="11"/>
  <c r="K19" i="11"/>
  <c r="K17" i="11"/>
  <c r="K15" i="11"/>
  <c r="K13" i="11"/>
  <c r="K9" i="11"/>
  <c r="F6" i="11"/>
  <c r="E23" i="11"/>
  <c r="K11" i="11"/>
  <c r="K23" i="11"/>
  <c r="F33" i="11"/>
  <c r="K33" i="11" s="1"/>
  <c r="X35" i="11"/>
  <c r="X2" i="11" s="1"/>
  <c r="K18" i="11"/>
  <c r="K21" i="11"/>
  <c r="K7" i="11"/>
  <c r="L33" i="11"/>
  <c r="L34" i="11"/>
  <c r="E24" i="11"/>
  <c r="E25" i="11"/>
  <c r="F24" i="11"/>
  <c r="K24" i="11" s="1"/>
  <c r="F25" i="11"/>
  <c r="K25" i="11" s="1"/>
  <c r="L27" i="11"/>
  <c r="L28" i="11"/>
  <c r="L30" i="11"/>
  <c r="E33" i="11"/>
  <c r="F35" i="11"/>
  <c r="I8" i="11"/>
  <c r="I35" i="11" s="1"/>
  <c r="I36" i="11" s="1"/>
  <c r="E27" i="11"/>
  <c r="E34" i="11"/>
  <c r="K26" i="4"/>
  <c r="E33" i="4"/>
  <c r="F33" i="4"/>
  <c r="K33" i="4" s="1"/>
  <c r="L36" i="4"/>
  <c r="F29" i="4"/>
  <c r="K29" i="4" s="1"/>
  <c r="L29" i="4"/>
  <c r="E22" i="4"/>
  <c r="E32" i="4"/>
  <c r="E34" i="4"/>
  <c r="K20" i="4"/>
  <c r="F22" i="4"/>
  <c r="K22" i="4" s="1"/>
  <c r="E24" i="4"/>
  <c r="F30" i="4"/>
  <c r="F32" i="4"/>
  <c r="F34" i="4"/>
  <c r="K34" i="4" s="1"/>
  <c r="K10" i="4"/>
  <c r="L43" i="4"/>
  <c r="F24" i="4"/>
  <c r="L30" i="4"/>
  <c r="K14" i="4"/>
  <c r="K40" i="4"/>
  <c r="K30" i="4"/>
  <c r="K32" i="4"/>
  <c r="K28" i="4"/>
  <c r="K23" i="4"/>
  <c r="K12" i="4"/>
  <c r="K27" i="4"/>
  <c r="K13" i="4"/>
  <c r="K11" i="4"/>
  <c r="K16" i="4"/>
  <c r="K24" i="4"/>
  <c r="O44" i="4"/>
  <c r="O2" i="4" s="1"/>
  <c r="K15" i="4"/>
  <c r="F44" i="4"/>
  <c r="K8" i="4"/>
  <c r="K39" i="4"/>
  <c r="K17" i="4"/>
  <c r="F37" i="4"/>
  <c r="K37" i="4" s="1"/>
  <c r="L42" i="4"/>
  <c r="K38" i="4"/>
  <c r="H44" i="4"/>
  <c r="K36" i="4"/>
  <c r="X9" i="4"/>
  <c r="I9" i="4" s="1"/>
  <c r="K9" i="4" s="1"/>
  <c r="K18" i="4"/>
  <c r="K43" i="4"/>
  <c r="F6" i="4"/>
  <c r="K7" i="4"/>
  <c r="E36" i="4"/>
  <c r="K8" i="11" l="1"/>
  <c r="K35" i="11" s="1"/>
  <c r="I44" i="4"/>
  <c r="K44" i="4"/>
  <c r="X44" i="4"/>
  <c r="X2" i="4" s="1"/>
</calcChain>
</file>

<file path=xl/sharedStrings.xml><?xml version="1.0" encoding="utf-8"?>
<sst xmlns="http://schemas.openxmlformats.org/spreadsheetml/2006/main" count="480" uniqueCount="197">
  <si>
    <t xml:space="preserve"> Municipio de Huazalingo</t>
  </si>
  <si>
    <t>CUENTAS DE RESULTADOS</t>
  </si>
  <si>
    <t>CUENTAS DE BALANCE</t>
  </si>
  <si>
    <t>Cuenta 2111</t>
  </si>
  <si>
    <t>Cuenta 2112</t>
  </si>
  <si>
    <t>Cuenta 2115</t>
  </si>
  <si>
    <t>Cuenta 2117-01</t>
  </si>
  <si>
    <t>Cuenta 2117-02</t>
  </si>
  <si>
    <t>Cuenta 2117-04</t>
  </si>
  <si>
    <t>Cuenta 2117-05</t>
  </si>
  <si>
    <t>Cuenta 2117-06</t>
  </si>
  <si>
    <t>Cuenta 2119</t>
  </si>
  <si>
    <t>Cuenta 2131</t>
  </si>
  <si>
    <t>Totales</t>
  </si>
  <si>
    <t>FUENTE DE FINANCIAMIENTO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</si>
  <si>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</si>
  <si>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</si>
  <si>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</si>
  <si>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</si>
  <si>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</si>
  <si>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</si>
  <si>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</si>
  <si>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</si>
  <si>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 xml:space="preserve">° CUENTAS DE RESULTADO
( D ) </t>
  </si>
  <si>
    <t>DIFERENCIA
A+B-C-D = E    (  E  )</t>
  </si>
  <si>
    <t>AVANCE %</t>
  </si>
  <si>
    <t xml:space="preserve">FIN. </t>
  </si>
  <si>
    <t>Recursos fiscales</t>
  </si>
  <si>
    <t>Fondo general</t>
  </si>
  <si>
    <t>Fomento municipal</t>
  </si>
  <si>
    <t>IEPS Tabacos</t>
  </si>
  <si>
    <t>Fiscalización y recaudación</t>
  </si>
  <si>
    <t xml:space="preserve">Compensación </t>
  </si>
  <si>
    <t>IEPS Gasolinas</t>
  </si>
  <si>
    <t>ISR Participable</t>
  </si>
  <si>
    <t>ISR Enajenación</t>
  </si>
  <si>
    <t>Faism</t>
  </si>
  <si>
    <t>Fortamun</t>
  </si>
  <si>
    <t>Isan</t>
  </si>
  <si>
    <t>Cisan</t>
  </si>
  <si>
    <t>Crédito banobras</t>
  </si>
  <si>
    <t>Otros</t>
  </si>
  <si>
    <t>Revisó y Autorizó</t>
  </si>
  <si>
    <t>Revisó</t>
  </si>
  <si>
    <t>Tesorero Municipal</t>
  </si>
  <si>
    <t>C. Florencio Lara Lara</t>
  </si>
  <si>
    <t>Síndico Procurador</t>
  </si>
  <si>
    <t>Presidenta Municipal Constitucional</t>
  </si>
  <si>
    <t>Lic. Crescencio Gabino Marcos</t>
  </si>
  <si>
    <t>Mtra. Vanessa Mejía Hernández</t>
  </si>
  <si>
    <t>Ejercicio 2024</t>
  </si>
  <si>
    <t>Ejercicio 2025</t>
  </si>
  <si>
    <t>Revupe</t>
  </si>
  <si>
    <t>Cuadro Resumen de la Situación Financiera - Enero - Marzo 2025</t>
  </si>
  <si>
    <t>Nat.</t>
  </si>
  <si>
    <t>Cuenta</t>
  </si>
  <si>
    <t>Nombre de la cuenta</t>
  </si>
  <si>
    <t>D</t>
  </si>
  <si>
    <t>1120</t>
  </si>
  <si>
    <t>DERECHOS A RECIBIR EFECTIVO O EQUIVALENTES</t>
  </si>
  <si>
    <t>1123</t>
  </si>
  <si>
    <t>DEUDORES DIVERSOS POR COBRAR A CORTO PLAZO</t>
  </si>
  <si>
    <t>1123-23</t>
  </si>
  <si>
    <t>Deudores 2023</t>
  </si>
  <si>
    <t>1123-23-146</t>
  </si>
  <si>
    <t>Deudores FAISM</t>
  </si>
  <si>
    <t>1123-23-146-002</t>
  </si>
  <si>
    <t>Retenciones 5 al millar pagadas en exceso</t>
  </si>
  <si>
    <t>1123-23-146-129</t>
  </si>
  <si>
    <t>Deudor Fomento Municipal 2023</t>
  </si>
  <si>
    <t>1123-25</t>
  </si>
  <si>
    <t>Deudores 2025</t>
  </si>
  <si>
    <t>Deudores FGP 2025</t>
  </si>
  <si>
    <t>Deudores FFM 2025</t>
  </si>
  <si>
    <t>1123-25-230</t>
  </si>
  <si>
    <t>Deudores ISR 2025</t>
  </si>
  <si>
    <t>1130</t>
  </si>
  <si>
    <t>DERECHOS A RECIBIR BIENES O SERVICIOS</t>
  </si>
  <si>
    <t>1134</t>
  </si>
  <si>
    <t>ANTICIPO A CONTRATISTAS POR OBRAS PÚBLICAS A CORTO PLAZO</t>
  </si>
  <si>
    <t>1134-2025</t>
  </si>
  <si>
    <t>ANTICIPO A CONTRATISTA 2025</t>
  </si>
  <si>
    <t>Total:</t>
  </si>
  <si>
    <t>Cuentas deudoras</t>
  </si>
  <si>
    <t>A</t>
  </si>
  <si>
    <t>2100</t>
  </si>
  <si>
    <t>PASIVO CIRCULANTE</t>
  </si>
  <si>
    <t>2110</t>
  </si>
  <si>
    <t>CUENTAS POR PAGAR A CORTO PLAZO</t>
  </si>
  <si>
    <t>2117</t>
  </si>
  <si>
    <t>RETENCIONES Y CONTRIBUCIONES POR PAGAR A CORTO PLAZO</t>
  </si>
  <si>
    <t>2117-01</t>
  </si>
  <si>
    <t>ISPT</t>
  </si>
  <si>
    <t>2117-01-23</t>
  </si>
  <si>
    <t>Retenciones ISR asimilados a salarios 2023</t>
  </si>
  <si>
    <t>2117-01-23-128</t>
  </si>
  <si>
    <t>ISR Fondo general 2023</t>
  </si>
  <si>
    <t>2117-01-25</t>
  </si>
  <si>
    <t>Retenciones ISR asimilados a salarios 2025</t>
  </si>
  <si>
    <t>2117-01-25-128</t>
  </si>
  <si>
    <t>ISR Fondo General 2025</t>
  </si>
  <si>
    <t>2117-01-25-129</t>
  </si>
  <si>
    <t>ISR Fomento 2025</t>
  </si>
  <si>
    <t>2117-01-25-147</t>
  </si>
  <si>
    <t>ISR Fortamun 2025</t>
  </si>
  <si>
    <t>2117-05</t>
  </si>
  <si>
    <t>10% RETENCION DE ISR</t>
  </si>
  <si>
    <t>2117-05-129</t>
  </si>
  <si>
    <t>Retenciones ISR Servicios profesioneles y arrendamientos</t>
  </si>
  <si>
    <t>2117-06</t>
  </si>
  <si>
    <t>RETENCIONES RESICO</t>
  </si>
  <si>
    <t>2117-06-25</t>
  </si>
  <si>
    <t>RETENCIONES RESICO 2025</t>
  </si>
  <si>
    <t>2117-06-25-133</t>
  </si>
  <si>
    <t>RET RESICO FOCOM 2025</t>
  </si>
  <si>
    <t>2119</t>
  </si>
  <si>
    <t>OTRAS CUENTAS POR PAGAR A CORTO PLAZO</t>
  </si>
  <si>
    <t>2119-025</t>
  </si>
  <si>
    <t>ACREEDORES EJERCICIO 2025</t>
  </si>
  <si>
    <t>2119-025-129</t>
  </si>
  <si>
    <t>Acreedores FFM</t>
  </si>
  <si>
    <t>Acreedores Faism 2023</t>
  </si>
  <si>
    <t>2119-129</t>
  </si>
  <si>
    <t>Acreedores Fomento Municipal</t>
  </si>
  <si>
    <t>2119-129-146</t>
  </si>
  <si>
    <t>2119-146</t>
  </si>
  <si>
    <t>Otras cuentas por pagar FAISM</t>
  </si>
  <si>
    <t>2119-146-20</t>
  </si>
  <si>
    <t>Rendimientos pendientes de reintegrar FIBAN 2023</t>
  </si>
  <si>
    <t>2119-146-24</t>
  </si>
  <si>
    <t>Rendimiento pendientes de reintegrar 2024</t>
  </si>
  <si>
    <t>Cuentas acreedoras</t>
  </si>
  <si>
    <t>Saldo actual</t>
  </si>
  <si>
    <t>Acreedor</t>
  </si>
  <si>
    <t>Deudor</t>
  </si>
  <si>
    <t>ISN</t>
  </si>
  <si>
    <t>Cuadro Resumen de la Situación Financiera - Abril - Junio 2025</t>
  </si>
  <si>
    <t>2112-1-000308</t>
  </si>
  <si>
    <t>JOSE LUIS HERRERA DOMINGUEZ</t>
  </si>
  <si>
    <t>2112-1-000338</t>
  </si>
  <si>
    <t>CRESCENCIO GABINO MARCOS</t>
  </si>
  <si>
    <t>2112-1-000454</t>
  </si>
  <si>
    <t>GILBERTO RODRIGUEZ VERA</t>
  </si>
  <si>
    <t>2119-025-129-133</t>
  </si>
  <si>
    <t>Acreedor FOCOM</t>
  </si>
  <si>
    <t>2119-146-23</t>
  </si>
  <si>
    <t>Rendimientos pendientes de reintegrar</t>
  </si>
  <si>
    <t>1134-2025-02</t>
  </si>
  <si>
    <t>JOSE IVAN FLORES FLORES</t>
  </si>
  <si>
    <t>1134-2025-03</t>
  </si>
  <si>
    <t>ALAN MARTINEZ ORTEGA</t>
  </si>
  <si>
    <t>1134-2025-04</t>
  </si>
  <si>
    <t>DULCE MAGALY CRUZ MARTINEZ</t>
  </si>
  <si>
    <t>2112</t>
  </si>
  <si>
    <t>PROVEEDORES POR PAGAR A CORTO PLAZO</t>
  </si>
  <si>
    <t>2112-1</t>
  </si>
  <si>
    <t>Deudas por Adquisición de Bienes y Contratación de Servicios por Pagar a CP</t>
  </si>
  <si>
    <t>1123-25-128</t>
  </si>
  <si>
    <t>FGP 2025</t>
  </si>
  <si>
    <t>1123-25-128-230</t>
  </si>
  <si>
    <t>ISR 25</t>
  </si>
  <si>
    <t>1123-25-129</t>
  </si>
  <si>
    <t>1123-25-129-128</t>
  </si>
  <si>
    <t>1123-25-134</t>
  </si>
  <si>
    <t>Deudores GASOLINA</t>
  </si>
  <si>
    <t>1123-25-134-001</t>
  </si>
  <si>
    <t>Comisiones Bancarias</t>
  </si>
  <si>
    <t>1123-25-137</t>
  </si>
  <si>
    <t>1123-25-137-001</t>
  </si>
  <si>
    <t>Deudores ISAN 2025</t>
  </si>
  <si>
    <t>1123-25-230-001</t>
  </si>
  <si>
    <t>1131</t>
  </si>
  <si>
    <t>1131-004</t>
  </si>
  <si>
    <t>1131-004-25</t>
  </si>
  <si>
    <t>CESLSO REDONDO HERNANDEZ</t>
  </si>
  <si>
    <t>ANTICIPO A PROVEEDORES POR ADQUISICIÓN DE BIENES Y PRESTACIÓN DE SERVICIOS A CORTO PLAZO</t>
  </si>
  <si>
    <t>ABASTECEDORA Y COMERCIALIZADORA TANTOYUCA SA DE CV</t>
  </si>
  <si>
    <t>DISTRIBUIDORA LAS 4 HERMANAS SA DE CV</t>
  </si>
  <si>
    <t>DISEÑO Y EDIFICACION DE OBRA CIVIL REYCE SA DE CV</t>
  </si>
  <si>
    <t>GERARDO ALDAIR LARA RUIZ</t>
  </si>
  <si>
    <t>FLOR GUADALUPE CARDENAS HERNANDEZ</t>
  </si>
  <si>
    <t>NALLELY JONGUITUD RIVERA</t>
  </si>
  <si>
    <t>1134-2025-05</t>
  </si>
  <si>
    <t>1134-2025-06</t>
  </si>
  <si>
    <t>1134-2025-07</t>
  </si>
  <si>
    <t>1134-2025-08</t>
  </si>
  <si>
    <t>1134-2025-09</t>
  </si>
  <si>
    <t>1134-2025-10</t>
  </si>
  <si>
    <t>2117-06-25-134</t>
  </si>
  <si>
    <t>RET RESICO GASOLINA 2025</t>
  </si>
  <si>
    <t>2119-025-230-128</t>
  </si>
  <si>
    <t>Acreedores ISR</t>
  </si>
  <si>
    <t>Cuadro Resumen de la Situación Financiera - Julio-Septiembre 2025</t>
  </si>
  <si>
    <t>Cuadro Resumen de la Situación Financiera - Octubre-Diciembre 2025</t>
  </si>
  <si>
    <t>2119-025-146</t>
  </si>
  <si>
    <t>Faism 2025</t>
  </si>
  <si>
    <t>Reintegros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</si>
</sst>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/>
    <xf numFmtId="0" fontId="5" fillId="2" borderId="0" xfId="2" applyFont="1" applyFill="1"/>
    <xf numFmtId="0" fontId="8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/>
    </xf>
    <xf numFmtId="43" fontId="10" fillId="2" borderId="0" xfId="1" applyNumberFormat="1" applyFont="1" applyFill="1"/>
    <xf numFmtId="0" fontId="11" fillId="4" borderId="0" xfId="2" applyFont="1" applyFill="1" applyAlignment="1">
      <alignment horizontal="left" vertical="center"/>
    </xf>
    <xf numFmtId="43" fontId="12" fillId="4" borderId="1" xfId="2" applyNumberFormat="1" applyFont="1" applyFill="1" applyBorder="1"/>
    <xf numFmtId="43" fontId="12" fillId="4" borderId="4" xfId="2" applyNumberFormat="1" applyFont="1" applyFill="1" applyBorder="1"/>
    <xf numFmtId="9" fontId="12" fillId="4" borderId="5" xfId="2" applyNumberFormat="1" applyFont="1" applyFill="1" applyBorder="1"/>
    <xf numFmtId="9" fontId="12" fillId="4" borderId="1" xfId="2" applyNumberFormat="1" applyFont="1" applyFill="1" applyBorder="1"/>
    <xf numFmtId="0" fontId="11" fillId="2" borderId="1" xfId="2" applyFont="1" applyFill="1" applyBorder="1" applyAlignment="1">
      <alignment horizontal="left" vertical="center"/>
    </xf>
    <xf numFmtId="43" fontId="12" fillId="0" borderId="1" xfId="2" applyNumberFormat="1" applyFont="1" applyBorder="1"/>
    <xf numFmtId="9" fontId="12" fillId="2" borderId="5" xfId="2" applyNumberFormat="1" applyFont="1" applyFill="1" applyBorder="1"/>
    <xf numFmtId="43" fontId="12" fillId="2" borderId="1" xfId="2" applyNumberFormat="1" applyFont="1" applyFill="1" applyBorder="1"/>
    <xf numFmtId="9" fontId="12" fillId="2" borderId="1" xfId="2" applyNumberFormat="1" applyFont="1" applyFill="1" applyBorder="1"/>
    <xf numFmtId="164" fontId="1" fillId="2" borderId="0" xfId="0" applyNumberFormat="1" applyFont="1" applyFill="1"/>
    <xf numFmtId="8" fontId="10" fillId="2" borderId="0" xfId="1" applyNumberFormat="1" applyFont="1" applyFill="1"/>
    <xf numFmtId="0" fontId="11" fillId="2" borderId="0" xfId="2" applyFont="1" applyFill="1" applyAlignment="1">
      <alignment horizontal="left" vertical="center"/>
    </xf>
    <xf numFmtId="43" fontId="12" fillId="0" borderId="4" xfId="2" applyNumberFormat="1" applyFont="1" applyBorder="1"/>
    <xf numFmtId="43" fontId="13" fillId="3" borderId="1" xfId="2" applyNumberFormat="1" applyFont="1" applyFill="1" applyBorder="1"/>
    <xf numFmtId="4" fontId="13" fillId="3" borderId="1" xfId="2" applyNumberFormat="1" applyFont="1" applyFill="1" applyBorder="1"/>
    <xf numFmtId="4" fontId="5" fillId="2" borderId="0" xfId="2" applyNumberFormat="1" applyFont="1" applyFill="1"/>
    <xf numFmtId="43" fontId="14" fillId="2" borderId="0" xfId="0" applyNumberFormat="1" applyFont="1" applyFill="1"/>
    <xf numFmtId="43" fontId="14" fillId="2" borderId="6" xfId="0" applyNumberFormat="1" applyFont="1" applyFill="1" applyBorder="1"/>
    <xf numFmtId="4" fontId="1" fillId="2" borderId="6" xfId="0" applyNumberFormat="1" applyFont="1" applyFill="1" applyBorder="1"/>
    <xf numFmtId="43" fontId="1" fillId="2" borderId="0" xfId="0" applyNumberFormat="1" applyFont="1" applyFill="1"/>
    <xf numFmtId="43" fontId="10" fillId="2" borderId="0" xfId="0" applyNumberFormat="1" applyFont="1" applyFill="1"/>
    <xf numFmtId="43" fontId="5" fillId="2" borderId="0" xfId="2" applyNumberFormat="1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43" fontId="5" fillId="2" borderId="0" xfId="2" applyNumberFormat="1" applyFont="1" applyFill="1" applyAlignment="1">
      <alignment horizontal="center"/>
    </xf>
    <xf numFmtId="0" fontId="16" fillId="2" borderId="0" xfId="2" applyFont="1" applyFill="1"/>
    <xf numFmtId="43" fontId="16" fillId="2" borderId="0" xfId="2" applyNumberFormat="1" applyFont="1" applyFill="1" applyAlignment="1">
      <alignment horizontal="center"/>
    </xf>
    <xf numFmtId="43" fontId="16" fillId="2" borderId="0" xfId="2" applyNumberFormat="1" applyFont="1" applyFill="1"/>
    <xf numFmtId="0" fontId="17" fillId="2" borderId="0" xfId="0" applyFont="1" applyFill="1"/>
    <xf numFmtId="43" fontId="18" fillId="2" borderId="0" xfId="2" applyNumberFormat="1" applyFont="1" applyFill="1" applyAlignment="1">
      <alignment horizontal="center"/>
    </xf>
    <xf numFmtId="43" fontId="1" fillId="2" borderId="0" xfId="0" applyNumberFormat="1" applyFont="1" applyFill="1" applyAlignment="1">
      <alignment horizontal="right"/>
    </xf>
    <xf numFmtId="44" fontId="19" fillId="2" borderId="0" xfId="1" applyFont="1" applyFill="1"/>
    <xf numFmtId="0" fontId="19" fillId="2" borderId="0" xfId="0" applyFont="1" applyFill="1"/>
    <xf numFmtId="0" fontId="3" fillId="0" borderId="0" xfId="0" applyFont="1"/>
    <xf numFmtId="49" fontId="3" fillId="0" borderId="0" xfId="0" applyNumberFormat="1" applyFont="1"/>
    <xf numFmtId="0" fontId="21" fillId="5" borderId="0" xfId="0" applyFont="1" applyFill="1" applyAlignment="1">
      <alignment horizontal="right"/>
    </xf>
    <xf numFmtId="49" fontId="21" fillId="5" borderId="0" xfId="0" applyNumberFormat="1" applyFont="1" applyFill="1" applyAlignment="1">
      <alignment horizontal="right"/>
    </xf>
    <xf numFmtId="0" fontId="22" fillId="5" borderId="1" xfId="0" applyFont="1" applyFill="1" applyBorder="1" applyAlignment="1">
      <alignment horizontal="center"/>
    </xf>
    <xf numFmtId="44" fontId="22" fillId="5" borderId="1" xfId="4" applyFont="1" applyFill="1" applyBorder="1" applyAlignment="1">
      <alignment horizontal="center"/>
    </xf>
    <xf numFmtId="43" fontId="12" fillId="6" borderId="1" xfId="2" applyNumberFormat="1" applyFont="1" applyFill="1" applyBorder="1"/>
    <xf numFmtId="43" fontId="10" fillId="6" borderId="0" xfId="1" applyNumberFormat="1" applyFont="1" applyFill="1"/>
    <xf numFmtId="8" fontId="3" fillId="0" borderId="0" xfId="4" applyNumberFormat="1" applyFont="1"/>
    <xf numFmtId="8" fontId="21" fillId="5" borderId="0" xfId="4" applyNumberFormat="1" applyFont="1" applyFill="1" applyAlignment="1">
      <alignment horizontal="right"/>
    </xf>
    <xf numFmtId="44" fontId="3" fillId="0" borderId="0" xfId="1" applyFont="1"/>
    <xf numFmtId="44" fontId="22" fillId="5" borderId="1" xfId="1" applyFont="1" applyFill="1" applyBorder="1" applyAlignment="1">
      <alignment horizontal="center"/>
    </xf>
    <xf numFmtId="44" fontId="21" fillId="5" borderId="0" xfId="1" applyFont="1" applyFill="1" applyAlignment="1">
      <alignment horizontal="right"/>
    </xf>
    <xf numFmtId="0" fontId="3" fillId="0" borderId="0" xfId="0" applyFont="1" applyAlignment="1">
      <alignment wrapText="1"/>
    </xf>
    <xf numFmtId="0" fontId="4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43" fontId="6" fillId="3" borderId="1" xfId="2" applyNumberFormat="1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43" fontId="9" fillId="3" borderId="1" xfId="2" applyNumberFormat="1" applyFont="1" applyFill="1" applyBorder="1" applyAlignment="1">
      <alignment horizontal="center" wrapText="1"/>
    </xf>
    <xf numFmtId="43" fontId="8" fillId="3" borderId="1" xfId="2" applyNumberFormat="1" applyFont="1" applyFill="1" applyBorder="1" applyAlignment="1">
      <alignment horizontal="center" wrapText="1"/>
    </xf>
    <xf numFmtId="43" fontId="8" fillId="3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2" applyNumberFormat="1" applyFont="1" applyFill="1" applyBorder="1" applyAlignment="1">
      <alignment horizontal="center" vertical="center" wrapText="1"/>
    </xf>
    <xf numFmtId="43" fontId="8" fillId="3" borderId="3" xfId="2" applyNumberFormat="1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/>
    </xf>
    <xf numFmtId="4" fontId="16" fillId="2" borderId="0" xfId="2" applyNumberFormat="1" applyFont="1" applyFill="1" applyAlignment="1">
      <alignment horizontal="center"/>
    </xf>
    <xf numFmtId="43" fontId="16" fillId="2" borderId="0" xfId="2" applyNumberFormat="1" applyFont="1" applyFill="1" applyAlignment="1">
      <alignment horizontal="center"/>
    </xf>
    <xf numFmtId="0" fontId="4" fillId="6" borderId="0" xfId="2" applyFont="1" applyFill="1" applyAlignment="1">
      <alignment horizontal="center" vertical="center"/>
    </xf>
    <xf numFmtId="0" fontId="20" fillId="6" borderId="0" xfId="2" applyFont="1" applyFill="1" applyAlignment="1">
      <alignment horizontal="center" vertical="center"/>
    </xf>
    <xf numFmtId="0" fontId="22" fillId="5" borderId="1" xfId="0" applyFont="1" applyFill="1" applyBorder="1" applyAlignment="1">
      <alignment horizontal="center"/>
    </xf>
  </cellXfs>
  <cellStyles count="6">
    <cellStyle name="Moneda" xfId="1" builtinId="4"/>
    <cellStyle name="Moneda 2" xfId="3"/>
    <cellStyle name="Moneda 3" xfId="4"/>
    <cellStyle name="Moneda 4" xfId="5"/>
    <cellStyle name="Normal" xfId="0" builtinId="0"/>
    <cellStyle name="Normal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773647</xdr:colOff>
      <xdr:row>2</xdr:row>
      <xdr:rowOff>23893</xdr:rowOff>
    </xdr:from>
    <xdr:to>
      <xdr:col>11</xdr:col>
      <xdr:colOff>546653</xdr:colOff>
      <xdr:row>2</xdr:row>
      <xdr:rowOff>185084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A89458F0-BECC-4C27-A44F-351A5FC34C9E}"/>
            </a:ext>
          </a:extLst>
        </xdr:cNvPr>
        <xdr:cNvSpPr/>
      </xdr:nvSpPr>
      <xdr:spPr>
        <a:xfrm>
          <a:off x="9685734" y="429741"/>
          <a:ext cx="551571" cy="16119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800" b="1">
              <a:ln w="3175">
                <a:noFill/>
              </a:ln>
              <a:latin typeface="+mn-lt"/>
              <a:cs typeface="Arial" panose="020B0604020202020204" pitchFamily="34" charset="0"/>
            </a:rPr>
            <a:t>MR-01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773647</xdr:colOff>
      <xdr:row>2</xdr:row>
      <xdr:rowOff>23893</xdr:rowOff>
    </xdr:from>
    <xdr:to>
      <xdr:col>11</xdr:col>
      <xdr:colOff>546653</xdr:colOff>
      <xdr:row>2</xdr:row>
      <xdr:rowOff>185084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72126D2C-12E9-4C5C-9089-BD7714B9C58D}"/>
            </a:ext>
          </a:extLst>
        </xdr:cNvPr>
        <xdr:cNvSpPr/>
      </xdr:nvSpPr>
      <xdr:spPr>
        <a:xfrm>
          <a:off x="9698572" y="423943"/>
          <a:ext cx="554056" cy="16119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800" b="1">
              <a:ln w="3175">
                <a:noFill/>
              </a:ln>
              <a:latin typeface="+mn-lt"/>
              <a:cs typeface="Arial" panose="020B0604020202020204" pitchFamily="34" charset="0"/>
            </a:rPr>
            <a:t>MR-01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773647</xdr:colOff>
      <xdr:row>2</xdr:row>
      <xdr:rowOff>23893</xdr:rowOff>
    </xdr:from>
    <xdr:to>
      <xdr:col>11</xdr:col>
      <xdr:colOff>546653</xdr:colOff>
      <xdr:row>2</xdr:row>
      <xdr:rowOff>185084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E31E528-2644-4B11-AE47-0EFC80F77F70}"/>
            </a:ext>
          </a:extLst>
        </xdr:cNvPr>
        <xdr:cNvSpPr/>
      </xdr:nvSpPr>
      <xdr:spPr>
        <a:xfrm>
          <a:off x="9955747" y="427753"/>
          <a:ext cx="573106" cy="16119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800" b="1">
              <a:ln w="3175">
                <a:noFill/>
              </a:ln>
              <a:latin typeface="+mn-lt"/>
              <a:cs typeface="Arial" panose="020B0604020202020204" pitchFamily="34" charset="0"/>
            </a:rPr>
            <a:t>MR-01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773647</xdr:colOff>
      <xdr:row>2</xdr:row>
      <xdr:rowOff>23893</xdr:rowOff>
    </xdr:from>
    <xdr:to>
      <xdr:col>11</xdr:col>
      <xdr:colOff>546653</xdr:colOff>
      <xdr:row>2</xdr:row>
      <xdr:rowOff>185084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EE412080-6790-43D4-BABF-568C08A4A12C}"/>
            </a:ext>
          </a:extLst>
        </xdr:cNvPr>
        <xdr:cNvSpPr/>
      </xdr:nvSpPr>
      <xdr:spPr>
        <a:xfrm>
          <a:off x="10108147" y="549673"/>
          <a:ext cx="573106" cy="16119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800" b="1">
              <a:ln w="3175">
                <a:noFill/>
              </a:ln>
              <a:latin typeface="+mn-lt"/>
              <a:cs typeface="Arial" panose="020B0604020202020204" pitchFamily="34" charset="0"/>
            </a:rPr>
            <a:t>MR-01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L2"/>
    </sheetView>
  </sheetViews>
  <sheetFormatPr baseColWidth="10" defaultColWidth="11.44140625" defaultRowHeight="14.4" x14ac:dyDescent="0.3"/>
  <cols>
    <col min="1" max="1" width="21.33203125" style="1" bestFit="1" customWidth="1"/>
    <col min="2" max="2" width="12.44140625" style="26" customWidth="1"/>
    <col min="3" max="3" width="10.109375" style="26" customWidth="1"/>
    <col min="4" max="4" width="12.6640625" style="26" customWidth="1"/>
    <col min="5" max="5" width="6" style="1" customWidth="1"/>
    <col min="6" max="6" width="11.88671875" style="26" customWidth="1"/>
    <col min="7" max="7" width="24.109375" style="26" bestFit="1" customWidth="1"/>
    <col min="8" max="8" width="10.6640625" style="26" customWidth="1"/>
    <col min="9" max="9" width="14.33203125" style="26" customWidth="1"/>
    <col min="10" max="10" width="10.33203125" style="26" customWidth="1"/>
    <col min="11" max="11" width="11.6640625" style="26" customWidth="1"/>
    <col min="12" max="12" width="9" style="1" customWidth="1"/>
    <col min="13" max="13" width="11.44140625" style="1"/>
    <col min="14" max="14" width="14.44140625" style="1" bestFit="1" customWidth="1"/>
    <col min="15" max="15" width="12.5546875" style="1" customWidth="1"/>
    <col min="16" max="16384" width="11.44140625" style="1"/>
  </cols>
  <sheetData>
    <row r="1" spans="1:24" s="39" customFormat="1" ht="18" customHeight="1" x14ac:dyDescent="0.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8"/>
    </row>
    <row r="2" spans="1:24" ht="14.1" customHeight="1" x14ac:dyDescent="0.3">
      <c r="A2" s="55" t="s">
        <v>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N2" s="7">
        <f>N44</f>
        <v>0</v>
      </c>
      <c r="O2" s="7">
        <f t="shared" ref="O2:X2" si="0">O44</f>
        <v>0</v>
      </c>
      <c r="P2" s="7">
        <f t="shared" si="0"/>
        <v>0</v>
      </c>
      <c r="Q2" s="7">
        <f t="shared" si="0"/>
        <v>938519</v>
      </c>
      <c r="R2" s="7">
        <f t="shared" si="0"/>
        <v>0</v>
      </c>
      <c r="S2" s="7">
        <f t="shared" si="0"/>
        <v>0</v>
      </c>
      <c r="T2" s="7">
        <f t="shared" si="0"/>
        <v>3773.6</v>
      </c>
      <c r="U2" s="7">
        <f t="shared" si="0"/>
        <v>328.67</v>
      </c>
      <c r="V2" s="7">
        <f t="shared" si="0"/>
        <v>4573197.2700000005</v>
      </c>
      <c r="W2" s="7">
        <f t="shared" si="0"/>
        <v>45000</v>
      </c>
      <c r="X2" s="7">
        <f t="shared" si="0"/>
        <v>5560818.540000001</v>
      </c>
    </row>
    <row r="3" spans="1:24" x14ac:dyDescent="0.3">
      <c r="A3" s="2"/>
      <c r="B3" s="56" t="s">
        <v>1</v>
      </c>
      <c r="C3" s="56"/>
      <c r="D3" s="57"/>
      <c r="E3" s="57"/>
      <c r="F3" s="57"/>
      <c r="G3" s="58" t="s">
        <v>2</v>
      </c>
      <c r="H3" s="58"/>
      <c r="I3" s="58"/>
      <c r="J3" s="58"/>
      <c r="K3" s="58"/>
      <c r="L3" s="4"/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3" t="s">
        <v>8</v>
      </c>
      <c r="T3" s="3" t="s">
        <v>9</v>
      </c>
      <c r="U3" s="3" t="s">
        <v>10</v>
      </c>
      <c r="V3" s="3" t="s">
        <v>11</v>
      </c>
      <c r="W3" s="3" t="s">
        <v>12</v>
      </c>
      <c r="X3" s="3" t="s">
        <v>13</v>
      </c>
    </row>
    <row r="4" spans="1:24" ht="18" customHeight="1" x14ac:dyDescent="0.3">
      <c r="A4" s="59" t="s">
        <v>14</v>
      </c>
      <c r="B4" s="61" t="s">
        <v>15</v>
      </c>
      <c r="C4" s="62" t="s">
        <v>16</v>
      </c>
      <c r="D4" s="63" t="s">
        <v>17</v>
      </c>
      <c r="E4" s="64" t="s">
        <v>18</v>
      </c>
      <c r="F4" s="65" t="s">
        <v>19</v>
      </c>
      <c r="G4" s="63" t="s">
        <v>20</v>
      </c>
      <c r="H4" s="63" t="s">
        <v>21</v>
      </c>
      <c r="I4" s="63" t="s">
        <v>22</v>
      </c>
      <c r="J4" s="63" t="s">
        <v>23</v>
      </c>
      <c r="K4" s="63" t="s">
        <v>24</v>
      </c>
      <c r="L4" s="4" t="s">
        <v>25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8" customHeight="1" x14ac:dyDescent="0.3">
      <c r="A5" s="60"/>
      <c r="B5" s="61"/>
      <c r="C5" s="62"/>
      <c r="D5" s="63"/>
      <c r="E5" s="64"/>
      <c r="F5" s="66"/>
      <c r="G5" s="63"/>
      <c r="H5" s="63"/>
      <c r="I5" s="63"/>
      <c r="J5" s="63"/>
      <c r="K5" s="63"/>
      <c r="L5" s="3" t="s">
        <v>26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6" t="s">
        <v>51</v>
      </c>
      <c r="B6" s="7">
        <f>SUM(B7:C20)</f>
        <v>27679612.029999997</v>
      </c>
      <c r="C6" s="8"/>
      <c r="D6" s="7">
        <f>SUM(D7:D20)</f>
        <v>11459578.299999999</v>
      </c>
      <c r="E6" s="9"/>
      <c r="F6" s="7">
        <f>SUM(F7:F20)</f>
        <v>16220033.729999999</v>
      </c>
      <c r="G6" s="7"/>
      <c r="H6" s="7"/>
      <c r="I6" s="7"/>
      <c r="J6" s="7"/>
      <c r="K6" s="7"/>
      <c r="L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3">
      <c r="A7" s="11" t="s">
        <v>27</v>
      </c>
      <c r="B7" s="12">
        <v>416837.25</v>
      </c>
      <c r="C7" s="12">
        <v>0</v>
      </c>
      <c r="D7" s="12">
        <v>313383</v>
      </c>
      <c r="E7" s="13">
        <f t="shared" ref="E7:E20" si="1">D7/B7</f>
        <v>0.7518114084093972</v>
      </c>
      <c r="F7" s="14">
        <f t="shared" ref="F7:F20" si="2">B7+C7-D7</f>
        <v>103454.25</v>
      </c>
      <c r="G7" s="12">
        <f>39160.8+64293.45</f>
        <v>103454.25</v>
      </c>
      <c r="H7" s="12">
        <v>0</v>
      </c>
      <c r="I7" s="14">
        <f t="shared" ref="I7:I40" si="3">X7</f>
        <v>0</v>
      </c>
      <c r="J7" s="14">
        <v>0</v>
      </c>
      <c r="K7" s="14">
        <f t="shared" ref="K7:K20" si="4">F7-(G7+H7-I7-J7)</f>
        <v>0</v>
      </c>
      <c r="L7" s="15">
        <f>D7/(B7+C7)</f>
        <v>0.7518114084093972</v>
      </c>
      <c r="M7" s="16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f t="shared" ref="X7:X43" si="5">SUM(N7:W7)</f>
        <v>0</v>
      </c>
    </row>
    <row r="8" spans="1:24" x14ac:dyDescent="0.3">
      <c r="A8" s="11" t="s">
        <v>28</v>
      </c>
      <c r="B8" s="12">
        <v>6250819.5800000001</v>
      </c>
      <c r="C8" s="12">
        <v>361.27</v>
      </c>
      <c r="D8" s="12">
        <v>5991619.4500000002</v>
      </c>
      <c r="E8" s="13">
        <f t="shared" si="1"/>
        <v>0.9585334168291576</v>
      </c>
      <c r="F8" s="12">
        <f t="shared" si="2"/>
        <v>259561.39999999944</v>
      </c>
      <c r="G8" s="12">
        <v>333821.40000000002</v>
      </c>
      <c r="H8" s="12">
        <v>40000</v>
      </c>
      <c r="I8" s="14">
        <f t="shared" si="3"/>
        <v>114260</v>
      </c>
      <c r="J8" s="14">
        <v>0</v>
      </c>
      <c r="K8" s="14">
        <f t="shared" si="4"/>
        <v>-5.8207660913467407E-10</v>
      </c>
      <c r="L8" s="15">
        <f t="shared" ref="L8:L20" si="6">D8/(B8+C8)</f>
        <v>0.95847802099662505</v>
      </c>
      <c r="M8" s="16"/>
      <c r="N8" s="5">
        <v>0</v>
      </c>
      <c r="O8" s="5">
        <v>0</v>
      </c>
      <c r="P8" s="5">
        <v>0</v>
      </c>
      <c r="Q8" s="5">
        <v>114260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f t="shared" si="5"/>
        <v>114260</v>
      </c>
    </row>
    <row r="9" spans="1:24" x14ac:dyDescent="0.3">
      <c r="A9" s="11" t="s">
        <v>29</v>
      </c>
      <c r="B9" s="12">
        <v>3300477.66</v>
      </c>
      <c r="C9" s="12">
        <v>124.82</v>
      </c>
      <c r="D9" s="12">
        <v>2323196.88</v>
      </c>
      <c r="E9" s="13">
        <f t="shared" si="1"/>
        <v>0.70389716862982787</v>
      </c>
      <c r="F9" s="12">
        <f t="shared" si="2"/>
        <v>977405.60000000009</v>
      </c>
      <c r="G9" s="12">
        <v>1025689.6</v>
      </c>
      <c r="H9" s="12">
        <v>5000</v>
      </c>
      <c r="I9" s="14">
        <f t="shared" si="3"/>
        <v>53284</v>
      </c>
      <c r="J9" s="14">
        <v>0</v>
      </c>
      <c r="K9" s="14">
        <f t="shared" si="4"/>
        <v>0</v>
      </c>
      <c r="L9" s="15">
        <f t="shared" si="6"/>
        <v>0.70387054911259717</v>
      </c>
      <c r="M9" s="16"/>
      <c r="N9" s="5">
        <v>0</v>
      </c>
      <c r="O9" s="5">
        <v>0</v>
      </c>
      <c r="P9" s="5">
        <v>0</v>
      </c>
      <c r="Q9" s="5">
        <v>13284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40000</v>
      </c>
      <c r="X9" s="5">
        <f t="shared" si="5"/>
        <v>53284</v>
      </c>
    </row>
    <row r="10" spans="1:24" x14ac:dyDescent="0.3">
      <c r="A10" s="11" t="s">
        <v>30</v>
      </c>
      <c r="B10" s="12">
        <v>183819.01</v>
      </c>
      <c r="C10" s="12">
        <v>7.77</v>
      </c>
      <c r="D10" s="12">
        <v>134114.92000000001</v>
      </c>
      <c r="E10" s="13">
        <f t="shared" si="1"/>
        <v>0.72960310253003757</v>
      </c>
      <c r="F10" s="12">
        <f>B10+C10-D10</f>
        <v>49711.859999999986</v>
      </c>
      <c r="G10" s="12">
        <v>49711.86</v>
      </c>
      <c r="H10" s="12">
        <v>0</v>
      </c>
      <c r="I10" s="14">
        <f t="shared" si="3"/>
        <v>0</v>
      </c>
      <c r="J10" s="14">
        <v>0</v>
      </c>
      <c r="K10" s="14">
        <f t="shared" si="4"/>
        <v>0</v>
      </c>
      <c r="L10" s="15">
        <f t="shared" si="6"/>
        <v>0.72957226362774785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f t="shared" si="5"/>
        <v>0</v>
      </c>
    </row>
    <row r="11" spans="1:24" x14ac:dyDescent="0.3">
      <c r="A11" s="11" t="s">
        <v>31</v>
      </c>
      <c r="B11" s="12">
        <v>166849.42000000001</v>
      </c>
      <c r="C11" s="12">
        <v>6.75</v>
      </c>
      <c r="D11" s="12">
        <v>146186.76999999999</v>
      </c>
      <c r="E11" s="13">
        <f t="shared" si="1"/>
        <v>0.8761598931539587</v>
      </c>
      <c r="F11" s="12">
        <f>B11+C11-D11</f>
        <v>20669.400000000023</v>
      </c>
      <c r="G11" s="12">
        <v>10669.4</v>
      </c>
      <c r="H11" s="12">
        <v>0</v>
      </c>
      <c r="I11" s="14">
        <f t="shared" si="3"/>
        <v>0</v>
      </c>
      <c r="J11" s="14">
        <v>0</v>
      </c>
      <c r="K11" s="14">
        <f t="shared" si="4"/>
        <v>10000.000000000024</v>
      </c>
      <c r="L11" s="15">
        <f t="shared" si="6"/>
        <v>0.87612444897902175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f t="shared" si="5"/>
        <v>0</v>
      </c>
    </row>
    <row r="12" spans="1:24" x14ac:dyDescent="0.3">
      <c r="A12" s="11" t="s">
        <v>32</v>
      </c>
      <c r="B12" s="12">
        <v>166557.84</v>
      </c>
      <c r="C12" s="12">
        <v>9.11</v>
      </c>
      <c r="D12" s="12">
        <v>118140.16</v>
      </c>
      <c r="E12" s="13">
        <f t="shared" si="1"/>
        <v>0.70930410720984383</v>
      </c>
      <c r="F12" s="12">
        <f t="shared" si="2"/>
        <v>48426.789999999979</v>
      </c>
      <c r="G12" s="12">
        <v>53754.97</v>
      </c>
      <c r="H12" s="12">
        <v>0</v>
      </c>
      <c r="I12" s="14">
        <f t="shared" si="3"/>
        <v>5328.18</v>
      </c>
      <c r="J12" s="14">
        <v>0</v>
      </c>
      <c r="K12" s="14">
        <f t="shared" si="4"/>
        <v>0</v>
      </c>
      <c r="L12" s="15">
        <f t="shared" si="6"/>
        <v>0.70926531343702948</v>
      </c>
      <c r="M12" s="16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328.18</v>
      </c>
      <c r="V12" s="5">
        <v>0</v>
      </c>
      <c r="W12" s="5">
        <v>5000</v>
      </c>
      <c r="X12" s="5">
        <f t="shared" si="5"/>
        <v>5328.18</v>
      </c>
    </row>
    <row r="13" spans="1:24" x14ac:dyDescent="0.3">
      <c r="A13" s="11" t="s">
        <v>33</v>
      </c>
      <c r="B13" s="12">
        <v>134017.12</v>
      </c>
      <c r="C13" s="12">
        <v>7.14</v>
      </c>
      <c r="D13" s="12">
        <v>122951.16</v>
      </c>
      <c r="E13" s="13">
        <f t="shared" si="1"/>
        <v>0.91742875835564897</v>
      </c>
      <c r="F13" s="12">
        <f t="shared" si="2"/>
        <v>11073.100000000006</v>
      </c>
      <c r="G13" s="12">
        <v>11073.1</v>
      </c>
      <c r="H13" s="12">
        <v>0</v>
      </c>
      <c r="I13" s="14">
        <f t="shared" si="3"/>
        <v>0</v>
      </c>
      <c r="J13" s="14">
        <v>0</v>
      </c>
      <c r="K13" s="14">
        <f t="shared" si="4"/>
        <v>0</v>
      </c>
      <c r="L13" s="15">
        <f t="shared" si="6"/>
        <v>0.91737988331366271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f t="shared" si="5"/>
        <v>0</v>
      </c>
    </row>
    <row r="14" spans="1:24" x14ac:dyDescent="0.3">
      <c r="A14" s="11" t="s">
        <v>34</v>
      </c>
      <c r="B14" s="12">
        <v>73346</v>
      </c>
      <c r="C14" s="12">
        <v>3.9</v>
      </c>
      <c r="D14" s="12">
        <v>59311.02</v>
      </c>
      <c r="E14" s="13">
        <f>D14/B14</f>
        <v>0.80864696097946709</v>
      </c>
      <c r="F14" s="12">
        <f>B14+C14-D14</f>
        <v>14038.879999999997</v>
      </c>
      <c r="G14" s="12">
        <v>22890.48</v>
      </c>
      <c r="H14" s="12">
        <v>1148.4000000000001</v>
      </c>
      <c r="I14" s="14">
        <f t="shared" si="3"/>
        <v>0</v>
      </c>
      <c r="J14" s="14">
        <v>0</v>
      </c>
      <c r="K14" s="14">
        <f t="shared" si="4"/>
        <v>-10000.000000000004</v>
      </c>
      <c r="L14" s="15">
        <f t="shared" si="6"/>
        <v>0.80860396537691259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f t="shared" si="5"/>
        <v>0</v>
      </c>
    </row>
    <row r="15" spans="1:24" x14ac:dyDescent="0.3">
      <c r="A15" s="11" t="s">
        <v>35</v>
      </c>
      <c r="B15" s="12">
        <v>9152.74</v>
      </c>
      <c r="C15" s="12">
        <v>0.5</v>
      </c>
      <c r="D15" s="12">
        <v>4000</v>
      </c>
      <c r="E15" s="13">
        <f t="shared" si="1"/>
        <v>0.43702760047810818</v>
      </c>
      <c r="F15" s="12">
        <f t="shared" si="2"/>
        <v>5153.24</v>
      </c>
      <c r="G15" s="12">
        <v>5153.24</v>
      </c>
      <c r="H15" s="12">
        <v>0</v>
      </c>
      <c r="I15" s="14">
        <f t="shared" si="3"/>
        <v>0</v>
      </c>
      <c r="J15" s="14">
        <v>0</v>
      </c>
      <c r="K15" s="14">
        <f t="shared" si="4"/>
        <v>0</v>
      </c>
      <c r="L15" s="15">
        <f t="shared" si="6"/>
        <v>0.43700372764179679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f t="shared" si="5"/>
        <v>0</v>
      </c>
    </row>
    <row r="16" spans="1:24" x14ac:dyDescent="0.3">
      <c r="A16" s="11" t="s">
        <v>36</v>
      </c>
      <c r="B16" s="12">
        <v>13600899</v>
      </c>
      <c r="C16" s="12">
        <v>50649.56</v>
      </c>
      <c r="D16" s="12">
        <v>0</v>
      </c>
      <c r="E16" s="13">
        <f t="shared" si="1"/>
        <v>0</v>
      </c>
      <c r="F16" s="12">
        <f t="shared" si="2"/>
        <v>13651548.560000001</v>
      </c>
      <c r="G16" s="12">
        <v>12942562.199999999</v>
      </c>
      <c r="H16" s="12">
        <v>708986.36</v>
      </c>
      <c r="I16" s="14">
        <f t="shared" si="3"/>
        <v>0</v>
      </c>
      <c r="J16" s="14">
        <v>0</v>
      </c>
      <c r="K16" s="14">
        <f>F16-(G16+H16-I16-J16)</f>
        <v>0</v>
      </c>
      <c r="L16" s="15">
        <f t="shared" si="6"/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f t="shared" si="5"/>
        <v>0</v>
      </c>
    </row>
    <row r="17" spans="1:24" x14ac:dyDescent="0.3">
      <c r="A17" s="11" t="s">
        <v>37</v>
      </c>
      <c r="B17" s="12">
        <v>3189381</v>
      </c>
      <c r="C17" s="12">
        <v>170.06</v>
      </c>
      <c r="D17" s="12">
        <v>2155884.69</v>
      </c>
      <c r="E17" s="13">
        <f t="shared" si="1"/>
        <v>0.6759570869707946</v>
      </c>
      <c r="F17" s="12">
        <f t="shared" si="2"/>
        <v>1033666.3700000001</v>
      </c>
      <c r="G17" s="12">
        <v>1048480.37</v>
      </c>
      <c r="H17" s="12">
        <v>0</v>
      </c>
      <c r="I17" s="14">
        <f t="shared" si="3"/>
        <v>14814</v>
      </c>
      <c r="J17" s="14">
        <v>0</v>
      </c>
      <c r="K17" s="14">
        <f t="shared" si="4"/>
        <v>0</v>
      </c>
      <c r="L17" s="15">
        <f t="shared" si="6"/>
        <v>0.67592104639328143</v>
      </c>
      <c r="M17" s="16"/>
      <c r="N17" s="5">
        <v>0</v>
      </c>
      <c r="O17" s="5">
        <v>0</v>
      </c>
      <c r="P17" s="5">
        <v>0</v>
      </c>
      <c r="Q17" s="5">
        <v>14814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f t="shared" si="5"/>
        <v>14814</v>
      </c>
    </row>
    <row r="18" spans="1:24" x14ac:dyDescent="0.3">
      <c r="A18" s="11" t="s">
        <v>38</v>
      </c>
      <c r="B18" s="12">
        <v>114916.99</v>
      </c>
      <c r="C18" s="12">
        <v>3.44</v>
      </c>
      <c r="D18" s="12">
        <v>82777.259999999995</v>
      </c>
      <c r="E18" s="13">
        <f t="shared" si="1"/>
        <v>0.72032220823047999</v>
      </c>
      <c r="F18" s="12">
        <f t="shared" si="2"/>
        <v>32143.170000000013</v>
      </c>
      <c r="G18" s="12">
        <v>32143.17</v>
      </c>
      <c r="H18" s="12">
        <v>0</v>
      </c>
      <c r="I18" s="14">
        <f t="shared" si="3"/>
        <v>0</v>
      </c>
      <c r="J18" s="14">
        <v>0</v>
      </c>
      <c r="K18" s="14">
        <f t="shared" si="4"/>
        <v>0</v>
      </c>
      <c r="L18" s="15">
        <f t="shared" si="6"/>
        <v>0.72030064628195345</v>
      </c>
      <c r="M18" s="16"/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f t="shared" si="5"/>
        <v>0</v>
      </c>
    </row>
    <row r="19" spans="1:24" x14ac:dyDescent="0.3">
      <c r="A19" s="11" t="s">
        <v>39</v>
      </c>
      <c r="B19" s="12">
        <v>11212.59</v>
      </c>
      <c r="C19" s="12">
        <v>0.5</v>
      </c>
      <c r="D19" s="12">
        <v>8012.99</v>
      </c>
      <c r="E19" s="13">
        <f t="shared" ref="E19" si="7">D19/B19</f>
        <v>0.71464220131120459</v>
      </c>
      <c r="F19" s="12">
        <f t="shared" ref="F19" si="8">B19+C19-D19</f>
        <v>3200.1000000000004</v>
      </c>
      <c r="G19" s="12">
        <v>3200.1</v>
      </c>
      <c r="H19" s="12">
        <v>0</v>
      </c>
      <c r="I19" s="14">
        <f t="shared" ref="I19" si="9">X19</f>
        <v>0</v>
      </c>
      <c r="J19" s="14">
        <v>0</v>
      </c>
      <c r="K19" s="14">
        <f t="shared" ref="K19" si="10">F19-(G19+H19-I19-J19)</f>
        <v>0</v>
      </c>
      <c r="L19" s="15">
        <f t="shared" ref="L19" si="11">D19/(B19+C19)</f>
        <v>0.71461033488538839</v>
      </c>
      <c r="M19" s="16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f t="shared" ref="X19" si="12">SUM(N19:W19)</f>
        <v>0</v>
      </c>
    </row>
    <row r="20" spans="1:24" x14ac:dyDescent="0.3">
      <c r="A20" s="11" t="s">
        <v>52</v>
      </c>
      <c r="B20" s="12">
        <v>9980.01</v>
      </c>
      <c r="C20" s="12">
        <v>1</v>
      </c>
      <c r="D20" s="12">
        <v>0</v>
      </c>
      <c r="E20" s="13">
        <f t="shared" si="1"/>
        <v>0</v>
      </c>
      <c r="F20" s="12">
        <f t="shared" si="2"/>
        <v>9981.01</v>
      </c>
      <c r="G20" s="12">
        <v>9528.61</v>
      </c>
      <c r="H20" s="12">
        <v>452.4</v>
      </c>
      <c r="I20" s="14">
        <f t="shared" si="3"/>
        <v>0</v>
      </c>
      <c r="J20" s="14">
        <v>0</v>
      </c>
      <c r="K20" s="14">
        <f t="shared" si="4"/>
        <v>0</v>
      </c>
      <c r="L20" s="15">
        <f t="shared" si="6"/>
        <v>0</v>
      </c>
      <c r="M20" s="16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f t="shared" si="5"/>
        <v>0</v>
      </c>
    </row>
    <row r="21" spans="1:24" x14ac:dyDescent="0.3">
      <c r="A21" s="6" t="s">
        <v>50</v>
      </c>
      <c r="B21" s="7"/>
      <c r="C21" s="8"/>
      <c r="D21" s="7"/>
      <c r="E21" s="9"/>
      <c r="F21" s="7"/>
      <c r="G21" s="7"/>
      <c r="H21" s="7"/>
      <c r="I21" s="7"/>
      <c r="J21" s="7"/>
      <c r="K21" s="7"/>
      <c r="L21" s="10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3">
      <c r="A22" s="11" t="s">
        <v>27</v>
      </c>
      <c r="B22" s="12">
        <v>1695067.48</v>
      </c>
      <c r="C22" s="12">
        <v>0</v>
      </c>
      <c r="D22" s="12">
        <f>1429961.82+(25000+47105.66+68000+125000)</f>
        <v>1695067.48</v>
      </c>
      <c r="E22" s="13">
        <f t="shared" ref="E22:E28" si="13">D22/B22</f>
        <v>1</v>
      </c>
      <c r="F22" s="14">
        <f t="shared" ref="F22:F24" si="14">B22+C22-D22</f>
        <v>0</v>
      </c>
      <c r="G22" s="12">
        <v>0</v>
      </c>
      <c r="H22" s="12">
        <v>0</v>
      </c>
      <c r="I22" s="14">
        <f t="shared" ref="I22:I34" si="15">X22</f>
        <v>0</v>
      </c>
      <c r="J22" s="14">
        <v>0</v>
      </c>
      <c r="K22" s="14">
        <f t="shared" ref="K22:K29" si="16">F22-(G22+H22-I22-J22)</f>
        <v>0</v>
      </c>
      <c r="L22" s="15">
        <f>D22/(B22+C22)</f>
        <v>1</v>
      </c>
      <c r="M22" s="16"/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f t="shared" ref="X22:X34" si="17">SUM(N22:W22)</f>
        <v>0</v>
      </c>
    </row>
    <row r="23" spans="1:24" x14ac:dyDescent="0.3">
      <c r="A23" s="11" t="s">
        <v>28</v>
      </c>
      <c r="B23" s="12">
        <v>34416362.469999999</v>
      </c>
      <c r="C23" s="12">
        <v>1439.53</v>
      </c>
      <c r="D23" s="12">
        <f>34379834.27+(7967.73+30000)</f>
        <v>34417802</v>
      </c>
      <c r="E23" s="13">
        <f t="shared" si="13"/>
        <v>1.0000418269072235</v>
      </c>
      <c r="F23" s="12">
        <f t="shared" si="14"/>
        <v>0</v>
      </c>
      <c r="G23" s="12">
        <v>0</v>
      </c>
      <c r="H23" s="12">
        <v>0</v>
      </c>
      <c r="I23" s="14">
        <f t="shared" si="15"/>
        <v>0</v>
      </c>
      <c r="J23" s="14">
        <v>0</v>
      </c>
      <c r="K23" s="14">
        <f t="shared" si="16"/>
        <v>0</v>
      </c>
      <c r="L23" s="15">
        <f t="shared" ref="L23:L34" si="18">D23/(B23+C23)</f>
        <v>1</v>
      </c>
      <c r="M23" s="16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f t="shared" si="17"/>
        <v>0</v>
      </c>
    </row>
    <row r="24" spans="1:24" x14ac:dyDescent="0.3">
      <c r="A24" s="11" t="s">
        <v>29</v>
      </c>
      <c r="B24" s="12">
        <v>12958263.5</v>
      </c>
      <c r="C24" s="12">
        <v>480.94</v>
      </c>
      <c r="D24" s="12">
        <f>12446189.99+(69500+211773.94+84351.06+135000)</f>
        <v>12946814.99</v>
      </c>
      <c r="E24" s="13">
        <f t="shared" si="13"/>
        <v>0.99911650893655624</v>
      </c>
      <c r="F24" s="12">
        <f t="shared" si="14"/>
        <v>11929.449999999255</v>
      </c>
      <c r="G24" s="12">
        <v>11929.94</v>
      </c>
      <c r="H24" s="12">
        <v>0</v>
      </c>
      <c r="I24" s="14">
        <f t="shared" si="15"/>
        <v>0.49</v>
      </c>
      <c r="J24" s="14">
        <v>0</v>
      </c>
      <c r="K24" s="14">
        <f t="shared" si="16"/>
        <v>-7.4578565545380116E-10</v>
      </c>
      <c r="L24" s="15">
        <f t="shared" si="18"/>
        <v>0.9990794285622937</v>
      </c>
      <c r="M24" s="16"/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0.49</v>
      </c>
      <c r="V24" s="5">
        <v>0</v>
      </c>
      <c r="W24" s="5">
        <v>0</v>
      </c>
      <c r="X24" s="5">
        <f t="shared" si="17"/>
        <v>0.49</v>
      </c>
    </row>
    <row r="25" spans="1:24" x14ac:dyDescent="0.3">
      <c r="A25" s="11" t="s">
        <v>30</v>
      </c>
      <c r="B25" s="12">
        <v>563571.66</v>
      </c>
      <c r="C25" s="12">
        <v>72.010000000000005</v>
      </c>
      <c r="D25" s="12">
        <f>528382.19+(5261.48+30000)</f>
        <v>563643.66999999993</v>
      </c>
      <c r="E25" s="13">
        <f t="shared" si="13"/>
        <v>1.0001277743455019</v>
      </c>
      <c r="F25" s="12">
        <f>B25+C25-D25</f>
        <v>0</v>
      </c>
      <c r="G25" s="12">
        <v>0</v>
      </c>
      <c r="H25" s="12">
        <v>0</v>
      </c>
      <c r="I25" s="14">
        <f t="shared" si="15"/>
        <v>0</v>
      </c>
      <c r="J25" s="14">
        <v>0</v>
      </c>
      <c r="K25" s="14">
        <f t="shared" si="16"/>
        <v>0</v>
      </c>
      <c r="L25" s="15">
        <f t="shared" si="18"/>
        <v>0.99999999999999978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f t="shared" si="17"/>
        <v>0</v>
      </c>
    </row>
    <row r="26" spans="1:24" x14ac:dyDescent="0.3">
      <c r="A26" s="11" t="s">
        <v>31</v>
      </c>
      <c r="B26" s="12">
        <v>730284.65</v>
      </c>
      <c r="C26" s="12">
        <v>45.92</v>
      </c>
      <c r="D26" s="12">
        <f>728273.22+(2057.35)</f>
        <v>730330.57</v>
      </c>
      <c r="E26" s="13">
        <f t="shared" si="13"/>
        <v>1.0000628795908553</v>
      </c>
      <c r="F26" s="12">
        <f>B26+C26-D26</f>
        <v>0</v>
      </c>
      <c r="G26" s="12">
        <v>0</v>
      </c>
      <c r="H26" s="12">
        <v>0</v>
      </c>
      <c r="I26" s="14">
        <f t="shared" si="15"/>
        <v>0</v>
      </c>
      <c r="J26" s="14">
        <v>0</v>
      </c>
      <c r="K26" s="14">
        <f t="shared" si="16"/>
        <v>0</v>
      </c>
      <c r="L26" s="15">
        <f t="shared" si="18"/>
        <v>0.99999999999999989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f t="shared" si="17"/>
        <v>0</v>
      </c>
    </row>
    <row r="27" spans="1:24" x14ac:dyDescent="0.3">
      <c r="A27" s="11" t="s">
        <v>32</v>
      </c>
      <c r="B27" s="12">
        <v>646241.80000000005</v>
      </c>
      <c r="C27" s="12">
        <v>50.87</v>
      </c>
      <c r="D27" s="12">
        <f>644800.74+(1491.93)</f>
        <v>646292.67000000004</v>
      </c>
      <c r="E27" s="13">
        <f t="shared" si="13"/>
        <v>1.0000787166661147</v>
      </c>
      <c r="F27" s="12">
        <f t="shared" ref="F27:F28" si="19">B27+C27-D27</f>
        <v>0</v>
      </c>
      <c r="G27" s="12">
        <v>0</v>
      </c>
      <c r="H27" s="12">
        <v>0</v>
      </c>
      <c r="I27" s="14">
        <f t="shared" si="15"/>
        <v>0</v>
      </c>
      <c r="J27" s="14">
        <v>0</v>
      </c>
      <c r="K27" s="14">
        <f t="shared" si="16"/>
        <v>0</v>
      </c>
      <c r="L27" s="15">
        <f t="shared" si="18"/>
        <v>1</v>
      </c>
      <c r="M27" s="16"/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f t="shared" si="17"/>
        <v>0</v>
      </c>
    </row>
    <row r="28" spans="1:24" x14ac:dyDescent="0.3">
      <c r="A28" s="11" t="s">
        <v>33</v>
      </c>
      <c r="B28" s="12">
        <v>541787.23</v>
      </c>
      <c r="C28" s="12">
        <v>50.25</v>
      </c>
      <c r="D28" s="12">
        <f>540522.55+(1314.93)</f>
        <v>541837.4800000001</v>
      </c>
      <c r="E28" s="13">
        <f t="shared" si="13"/>
        <v>1.0000927485869318</v>
      </c>
      <c r="F28" s="12">
        <f t="shared" si="19"/>
        <v>0</v>
      </c>
      <c r="G28" s="12">
        <v>0</v>
      </c>
      <c r="H28" s="12">
        <v>0</v>
      </c>
      <c r="I28" s="14">
        <f t="shared" si="15"/>
        <v>0</v>
      </c>
      <c r="J28" s="14">
        <v>0</v>
      </c>
      <c r="K28" s="14">
        <f t="shared" si="16"/>
        <v>0</v>
      </c>
      <c r="L28" s="15">
        <f t="shared" si="18"/>
        <v>1.0000000000000002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f t="shared" si="17"/>
        <v>0</v>
      </c>
    </row>
    <row r="29" spans="1:24" x14ac:dyDescent="0.3">
      <c r="A29" s="11" t="s">
        <v>34</v>
      </c>
      <c r="B29" s="12">
        <v>1351485</v>
      </c>
      <c r="C29" s="12">
        <v>248.95</v>
      </c>
      <c r="D29" s="12">
        <f>1321156.8+(4891.7+25685.45)</f>
        <v>1351733.95</v>
      </c>
      <c r="E29" s="13">
        <f>D29/B29</f>
        <v>1.000184204782147</v>
      </c>
      <c r="F29" s="12">
        <f>B29+C29-D29</f>
        <v>0</v>
      </c>
      <c r="G29" s="12">
        <v>0</v>
      </c>
      <c r="H29" s="12">
        <v>0</v>
      </c>
      <c r="I29" s="14">
        <f t="shared" si="15"/>
        <v>0</v>
      </c>
      <c r="J29" s="14">
        <v>0</v>
      </c>
      <c r="K29" s="14">
        <f t="shared" si="16"/>
        <v>0</v>
      </c>
      <c r="L29" s="15">
        <f t="shared" si="18"/>
        <v>1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f t="shared" si="17"/>
        <v>0</v>
      </c>
    </row>
    <row r="30" spans="1:24" x14ac:dyDescent="0.3">
      <c r="A30" s="11" t="s">
        <v>35</v>
      </c>
      <c r="B30" s="12">
        <v>175170.61</v>
      </c>
      <c r="C30" s="12">
        <v>34.229999999999997</v>
      </c>
      <c r="D30" s="12">
        <f>174248.29+(956.55)</f>
        <v>175204.84</v>
      </c>
      <c r="E30" s="13">
        <f t="shared" ref="E30:E34" si="20">D30/B30</f>
        <v>1.0001954094924943</v>
      </c>
      <c r="F30" s="12">
        <f t="shared" ref="F30:F34" si="21">B30+C30-D30</f>
        <v>0</v>
      </c>
      <c r="G30" s="12">
        <v>0</v>
      </c>
      <c r="H30" s="12">
        <v>0</v>
      </c>
      <c r="I30" s="14">
        <f t="shared" si="15"/>
        <v>0</v>
      </c>
      <c r="J30" s="14">
        <v>0</v>
      </c>
      <c r="K30" s="14">
        <f>F30-(G30+H30-I30-J30)</f>
        <v>0</v>
      </c>
      <c r="L30" s="15">
        <f t="shared" si="18"/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f t="shared" si="17"/>
        <v>0</v>
      </c>
    </row>
    <row r="31" spans="1:24" x14ac:dyDescent="0.3">
      <c r="A31" s="11" t="s">
        <v>36</v>
      </c>
      <c r="B31" s="12">
        <v>46079271</v>
      </c>
      <c r="C31" s="12">
        <v>226053.93</v>
      </c>
      <c r="D31" s="12">
        <f>36267917.14+(33041.02+10004366.77)</f>
        <v>46305324.93</v>
      </c>
      <c r="E31" s="13">
        <f t="shared" si="20"/>
        <v>1.0049057618554773</v>
      </c>
      <c r="F31" s="12">
        <f t="shared" si="21"/>
        <v>0</v>
      </c>
      <c r="G31" s="12">
        <v>-4537080.5999999996</v>
      </c>
      <c r="H31" s="12">
        <f>4554000</f>
        <v>4554000</v>
      </c>
      <c r="I31" s="14">
        <f t="shared" si="15"/>
        <v>16919.400000000001</v>
      </c>
      <c r="J31" s="14">
        <v>0</v>
      </c>
      <c r="K31" s="14">
        <f>F31-(G31+H31-I31-J31)</f>
        <v>-3.7107383832335472E-10</v>
      </c>
      <c r="L31" s="15">
        <f t="shared" si="18"/>
        <v>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16919.400000000001</v>
      </c>
      <c r="W31" s="5">
        <v>0</v>
      </c>
      <c r="X31" s="5">
        <f t="shared" si="17"/>
        <v>16919.400000000001</v>
      </c>
    </row>
    <row r="32" spans="1:24" x14ac:dyDescent="0.3">
      <c r="A32" s="11" t="s">
        <v>37</v>
      </c>
      <c r="B32" s="12">
        <v>11859681</v>
      </c>
      <c r="C32" s="12">
        <v>1244.3900000000001</v>
      </c>
      <c r="D32" s="12">
        <f>11357777.88+(165124.76+63000+57693.02+56626.56+55000+105703.17)</f>
        <v>11860925.390000001</v>
      </c>
      <c r="E32" s="13">
        <f t="shared" si="20"/>
        <v>1.000104926093712</v>
      </c>
      <c r="F32" s="12">
        <f t="shared" si="21"/>
        <v>0</v>
      </c>
      <c r="G32" s="12">
        <v>156.38999999999999</v>
      </c>
      <c r="H32" s="12">
        <v>0</v>
      </c>
      <c r="I32" s="14">
        <f t="shared" si="15"/>
        <v>156.38999999999999</v>
      </c>
      <c r="J32" s="14">
        <v>0</v>
      </c>
      <c r="K32" s="14">
        <f t="shared" ref="K32:K34" si="22">F32-(G32+H32-I32-J32)</f>
        <v>0</v>
      </c>
      <c r="L32" s="15">
        <f t="shared" si="18"/>
        <v>1</v>
      </c>
      <c r="M32" s="16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156.38999999999999</v>
      </c>
      <c r="W32" s="5">
        <v>0</v>
      </c>
      <c r="X32" s="5">
        <f t="shared" si="17"/>
        <v>156.38999999999999</v>
      </c>
    </row>
    <row r="33" spans="1:24" x14ac:dyDescent="0.3">
      <c r="A33" s="11" t="s">
        <v>38</v>
      </c>
      <c r="B33" s="12">
        <v>421278.61</v>
      </c>
      <c r="C33" s="12">
        <v>24.6</v>
      </c>
      <c r="D33" s="12">
        <f>382353.75+(38949.46)</f>
        <v>421303.21</v>
      </c>
      <c r="E33" s="13">
        <f t="shared" si="20"/>
        <v>1.0000583936601957</v>
      </c>
      <c r="F33" s="12">
        <f t="shared" si="21"/>
        <v>0</v>
      </c>
      <c r="G33" s="12">
        <v>0</v>
      </c>
      <c r="H33" s="14">
        <v>0</v>
      </c>
      <c r="I33" s="14">
        <f t="shared" si="15"/>
        <v>0</v>
      </c>
      <c r="J33" s="14">
        <v>0</v>
      </c>
      <c r="K33" s="14">
        <f t="shared" si="22"/>
        <v>0</v>
      </c>
      <c r="L33" s="15">
        <f t="shared" si="18"/>
        <v>1.0000000000000002</v>
      </c>
      <c r="M33" s="16"/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f t="shared" si="17"/>
        <v>0</v>
      </c>
    </row>
    <row r="34" spans="1:24" x14ac:dyDescent="0.3">
      <c r="A34" s="11" t="s">
        <v>39</v>
      </c>
      <c r="B34" s="12">
        <v>46047.02</v>
      </c>
      <c r="C34" s="12">
        <v>5.05</v>
      </c>
      <c r="D34" s="12">
        <f>43845.99+(2206.08)</f>
        <v>46052.07</v>
      </c>
      <c r="E34" s="13">
        <f t="shared" si="20"/>
        <v>1.000109670506365</v>
      </c>
      <c r="F34" s="12">
        <f t="shared" si="21"/>
        <v>0</v>
      </c>
      <c r="G34" s="12">
        <v>0</v>
      </c>
      <c r="H34" s="14">
        <v>0</v>
      </c>
      <c r="I34" s="14">
        <f t="shared" si="15"/>
        <v>0</v>
      </c>
      <c r="J34" s="14">
        <v>0</v>
      </c>
      <c r="K34" s="14">
        <f t="shared" si="22"/>
        <v>0</v>
      </c>
      <c r="L34" s="15">
        <f t="shared" si="18"/>
        <v>1</v>
      </c>
      <c r="M34" s="16"/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f t="shared" si="17"/>
        <v>0</v>
      </c>
    </row>
    <row r="35" spans="1:24" ht="18" customHeight="1" x14ac:dyDescent="0.3">
      <c r="A35" s="6">
        <v>2023</v>
      </c>
      <c r="B35" s="7"/>
      <c r="C35" s="8"/>
      <c r="D35" s="7"/>
      <c r="E35" s="9"/>
      <c r="F35" s="7"/>
      <c r="G35" s="7"/>
      <c r="H35" s="7"/>
      <c r="I35" s="7"/>
      <c r="J35" s="7"/>
      <c r="K35" s="7"/>
      <c r="L35" s="10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3">
      <c r="A36" s="11" t="s">
        <v>27</v>
      </c>
      <c r="B36" s="12">
        <v>769635.06</v>
      </c>
      <c r="C36" s="12">
        <v>0</v>
      </c>
      <c r="D36" s="12">
        <f>595863.66+50000</f>
        <v>645863.66</v>
      </c>
      <c r="E36" s="13">
        <f t="shared" ref="E36:E39" si="23">D36/B36</f>
        <v>0.83918170255913238</v>
      </c>
      <c r="F36" s="12">
        <f>B36+C36-D36</f>
        <v>123771.40000000002</v>
      </c>
      <c r="G36" s="12">
        <v>123771.4</v>
      </c>
      <c r="H36" s="12">
        <v>0</v>
      </c>
      <c r="I36" s="14">
        <f t="shared" si="3"/>
        <v>0</v>
      </c>
      <c r="J36" s="14">
        <v>0</v>
      </c>
      <c r="K36" s="14">
        <f t="shared" ref="K36:K39" si="24">F36-(G36+H36-I36-J36)</f>
        <v>0</v>
      </c>
      <c r="L36" s="15">
        <f>D36/(B36+C36)</f>
        <v>0.83918170255913238</v>
      </c>
      <c r="M36" s="16"/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f t="shared" ref="X36:X40" si="25">SUM(N36:W36)</f>
        <v>0</v>
      </c>
    </row>
    <row r="37" spans="1:24" x14ac:dyDescent="0.3">
      <c r="A37" s="11" t="s">
        <v>28</v>
      </c>
      <c r="B37" s="12">
        <v>33423404.960000001</v>
      </c>
      <c r="C37" s="12">
        <f>1+3034.42+931.23</f>
        <v>3966.65</v>
      </c>
      <c r="D37" s="12">
        <v>33910562.130000003</v>
      </c>
      <c r="E37" s="13">
        <f t="shared" si="23"/>
        <v>1.0145753303884812</v>
      </c>
      <c r="F37" s="12">
        <f t="shared" ref="F37:F38" si="26">B37+C37-D37</f>
        <v>-483190.52000000328</v>
      </c>
      <c r="G37" s="12">
        <f>185283.06+176022.82</f>
        <v>361305.88</v>
      </c>
      <c r="H37" s="12">
        <v>5514</v>
      </c>
      <c r="I37" s="14">
        <f t="shared" si="3"/>
        <v>1446161</v>
      </c>
      <c r="J37" s="14">
        <v>0</v>
      </c>
      <c r="K37" s="14">
        <f t="shared" si="24"/>
        <v>596150.59999999683</v>
      </c>
      <c r="L37" s="15">
        <f t="shared" ref="L37:L40" si="27">D37/(B37+C37)</f>
        <v>1.0144549360816468</v>
      </c>
      <c r="M37" s="16"/>
      <c r="N37" s="5">
        <v>0</v>
      </c>
      <c r="O37" s="5">
        <v>0</v>
      </c>
      <c r="P37" s="5">
        <v>0</v>
      </c>
      <c r="Q37" s="17">
        <v>796161</v>
      </c>
      <c r="R37" s="5">
        <v>0</v>
      </c>
      <c r="S37" s="5">
        <v>0</v>
      </c>
      <c r="T37" s="5">
        <v>0</v>
      </c>
      <c r="U37" s="5">
        <v>0</v>
      </c>
      <c r="V37" s="5">
        <v>650000</v>
      </c>
      <c r="W37" s="5">
        <v>0</v>
      </c>
      <c r="X37" s="5">
        <f t="shared" si="25"/>
        <v>1446161</v>
      </c>
    </row>
    <row r="38" spans="1:24" x14ac:dyDescent="0.3">
      <c r="A38" s="11" t="s">
        <v>29</v>
      </c>
      <c r="B38" s="12">
        <v>12872633.83</v>
      </c>
      <c r="C38" s="12">
        <v>0.01</v>
      </c>
      <c r="D38" s="12">
        <v>15758061.859999999</v>
      </c>
      <c r="E38" s="13">
        <f t="shared" si="23"/>
        <v>1.2241521096696961</v>
      </c>
      <c r="F38" s="12">
        <f t="shared" si="26"/>
        <v>-2885428.0199999996</v>
      </c>
      <c r="G38" s="12">
        <f>1591528.08+940.02</f>
        <v>1592468.1</v>
      </c>
      <c r="H38" s="12">
        <v>16183.19</v>
      </c>
      <c r="I38" s="14">
        <f t="shared" si="3"/>
        <v>3907773.6</v>
      </c>
      <c r="J38" s="14">
        <v>0</v>
      </c>
      <c r="K38" s="14">
        <f t="shared" si="24"/>
        <v>-586305.7099999995</v>
      </c>
      <c r="L38" s="15">
        <f t="shared" si="27"/>
        <v>1.2241521087187235</v>
      </c>
      <c r="M38" s="16"/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3773.6</v>
      </c>
      <c r="U38" s="5">
        <v>0</v>
      </c>
      <c r="V38" s="5">
        <v>3904000</v>
      </c>
      <c r="W38" s="5">
        <v>0</v>
      </c>
      <c r="X38" s="5">
        <f t="shared" si="25"/>
        <v>3907773.6</v>
      </c>
    </row>
    <row r="39" spans="1:24" x14ac:dyDescent="0.3">
      <c r="A39" s="11" t="s">
        <v>36</v>
      </c>
      <c r="B39" s="12">
        <v>46529702</v>
      </c>
      <c r="C39" s="12">
        <f>1220896.18+17320.63+4327.4+6208.28+0.2+(168662.76+17922.3+4388.14+4330.48)+4963.33+0.18+2016.07+1430.67+5628.27+1053.28+72.09+(216.22)+(70.77+46.51+0.28)</f>
        <v>1459554.0399999998</v>
      </c>
      <c r="D39" s="12">
        <f>35733267.27+3839504.29+3458069.19+4934074.61+4135.42+2956.56+3058.53</f>
        <v>47975065.870000005</v>
      </c>
      <c r="E39" s="13">
        <f t="shared" si="23"/>
        <v>1.0310632522426213</v>
      </c>
      <c r="F39" s="12">
        <f>B39+C39-D39</f>
        <v>14190.169999994338</v>
      </c>
      <c r="G39" s="12">
        <v>8628.8700000000008</v>
      </c>
      <c r="H39" s="12">
        <f>5561.3</f>
        <v>5561.3</v>
      </c>
      <c r="I39" s="14">
        <f t="shared" si="3"/>
        <v>0</v>
      </c>
      <c r="J39" s="14">
        <v>0</v>
      </c>
      <c r="K39" s="14">
        <f t="shared" si="24"/>
        <v>-5.6643330026417971E-9</v>
      </c>
      <c r="L39" s="15">
        <f t="shared" si="27"/>
        <v>0.9997043052722433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f t="shared" si="25"/>
        <v>0</v>
      </c>
    </row>
    <row r="40" spans="1:24" x14ac:dyDescent="0.3">
      <c r="A40" s="18" t="s">
        <v>40</v>
      </c>
      <c r="B40" s="12">
        <v>0</v>
      </c>
      <c r="C40" s="19">
        <v>0</v>
      </c>
      <c r="D40" s="12">
        <v>0</v>
      </c>
      <c r="E40" s="13">
        <v>0</v>
      </c>
      <c r="F40" s="12">
        <f>B40+C40-D40</f>
        <v>0</v>
      </c>
      <c r="G40" s="12">
        <v>2121.48</v>
      </c>
      <c r="H40" s="12">
        <v>0</v>
      </c>
      <c r="I40" s="14">
        <f t="shared" si="3"/>
        <v>2121.48</v>
      </c>
      <c r="J40" s="14">
        <v>0</v>
      </c>
      <c r="K40" s="14">
        <f>F40-(G40+H40-I40-J40)</f>
        <v>0</v>
      </c>
      <c r="L40" s="15" t="e">
        <f t="shared" si="27"/>
        <v>#DIV/0!</v>
      </c>
      <c r="M40" s="16"/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2121.48</v>
      </c>
      <c r="W40" s="5">
        <v>0</v>
      </c>
      <c r="X40" s="5">
        <f t="shared" si="25"/>
        <v>2121.48</v>
      </c>
    </row>
    <row r="41" spans="1:24" ht="18" customHeight="1" x14ac:dyDescent="0.3">
      <c r="A41" s="6">
        <v>2022</v>
      </c>
      <c r="B41" s="7"/>
      <c r="C41" s="8"/>
      <c r="D41" s="7"/>
      <c r="E41" s="9"/>
      <c r="F41" s="7"/>
      <c r="G41" s="7"/>
      <c r="H41" s="7"/>
      <c r="I41" s="7"/>
      <c r="J41" s="7"/>
      <c r="K41" s="7"/>
      <c r="L41" s="10"/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f t="shared" si="5"/>
        <v>0</v>
      </c>
    </row>
    <row r="42" spans="1:24" x14ac:dyDescent="0.3">
      <c r="A42" s="11" t="s">
        <v>28</v>
      </c>
      <c r="B42" s="12">
        <v>34768529.590000004</v>
      </c>
      <c r="C42" s="12">
        <f>22629.12+3329.45</f>
        <v>25958.57</v>
      </c>
      <c r="D42" s="12">
        <f>34787197.98+7290.18</f>
        <v>34794488.159999996</v>
      </c>
      <c r="E42" s="13">
        <f t="shared" ref="E42:E43" si="28">D42/B42</f>
        <v>1.0007466110964744</v>
      </c>
      <c r="F42" s="12">
        <f t="shared" ref="F42" si="29">B42+C42-D42</f>
        <v>0</v>
      </c>
      <c r="G42" s="12">
        <v>9844.89</v>
      </c>
      <c r="H42" s="14">
        <v>0</v>
      </c>
      <c r="I42" s="14">
        <f>X42</f>
        <v>0</v>
      </c>
      <c r="J42" s="14">
        <v>0</v>
      </c>
      <c r="K42" s="14">
        <f t="shared" ref="K42:K43" si="30">F42-(G42+H42-I42-J42)</f>
        <v>-9844.89</v>
      </c>
      <c r="L42" s="15">
        <f t="shared" ref="L42:L43" si="31">D42/(B42+C42)</f>
        <v>0.99999999999999978</v>
      </c>
      <c r="M42" s="16"/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f t="shared" si="5"/>
        <v>0</v>
      </c>
    </row>
    <row r="43" spans="1:24" x14ac:dyDescent="0.3">
      <c r="A43" s="11" t="s">
        <v>36</v>
      </c>
      <c r="B43" s="12">
        <v>39686429</v>
      </c>
      <c r="C43" s="12">
        <f>603825.64+1079.7+145.67+89.37+14.17+14.78+14.83+13.92+14.83+14.17+0.48</f>
        <v>605227.56000000006</v>
      </c>
      <c r="D43" s="12">
        <f>25206739.02+2326618.24+4358051.19+8322192.56+76653+0.01-0.03-0.03+1402.12</f>
        <v>40291656.079999991</v>
      </c>
      <c r="E43" s="13">
        <f t="shared" si="28"/>
        <v>1.0152502277289799</v>
      </c>
      <c r="F43" s="12">
        <f>B43+C43-D43</f>
        <v>0.48000001162290573</v>
      </c>
      <c r="G43" s="12">
        <v>0.48</v>
      </c>
      <c r="H43" s="14">
        <v>0</v>
      </c>
      <c r="I43" s="12">
        <f>X43</f>
        <v>0</v>
      </c>
      <c r="J43" s="14">
        <v>0</v>
      </c>
      <c r="K43" s="14">
        <f t="shared" si="30"/>
        <v>1.162290574896474E-8</v>
      </c>
      <c r="L43" s="15">
        <f t="shared" si="31"/>
        <v>0.9999999880868633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f t="shared" si="5"/>
        <v>0</v>
      </c>
    </row>
    <row r="44" spans="1:24" x14ac:dyDescent="0.3">
      <c r="A44" s="11" t="s">
        <v>41</v>
      </c>
      <c r="B44" s="20">
        <f>SUM(B7:B20)</f>
        <v>27628266.209999997</v>
      </c>
      <c r="C44" s="20"/>
      <c r="D44" s="20">
        <f>SUM(D7:D20)</f>
        <v>11459578.299999999</v>
      </c>
      <c r="E44" s="21"/>
      <c r="F44" s="20">
        <f>SUM(F7:F20)</f>
        <v>16220033.729999999</v>
      </c>
      <c r="G44" s="20">
        <f>SUM(G6:G43)</f>
        <v>13225279.58</v>
      </c>
      <c r="H44" s="20">
        <f>SUM(H7:H43)</f>
        <v>5336845.6500000004</v>
      </c>
      <c r="I44" s="20">
        <f>SUM(I7:I43)</f>
        <v>5560818.540000001</v>
      </c>
      <c r="J44" s="20">
        <f>SUM(J7:J43)</f>
        <v>0</v>
      </c>
      <c r="K44" s="20">
        <f>SUM(K7:K43)</f>
        <v>1.6657577539547219E-9</v>
      </c>
      <c r="L44" s="21" t="e">
        <f>D44/#REF!</f>
        <v>#REF!</v>
      </c>
      <c r="N44" s="7">
        <f t="shared" ref="N44:X44" si="32">SUM(N7:N43)</f>
        <v>0</v>
      </c>
      <c r="O44" s="7">
        <f t="shared" si="32"/>
        <v>0</v>
      </c>
      <c r="P44" s="7">
        <f t="shared" si="32"/>
        <v>0</v>
      </c>
      <c r="Q44" s="7">
        <f t="shared" si="32"/>
        <v>938519</v>
      </c>
      <c r="R44" s="7">
        <f t="shared" si="32"/>
        <v>0</v>
      </c>
      <c r="S44" s="7">
        <f t="shared" si="32"/>
        <v>0</v>
      </c>
      <c r="T44" s="7">
        <f t="shared" si="32"/>
        <v>3773.6</v>
      </c>
      <c r="U44" s="7">
        <f t="shared" si="32"/>
        <v>328.67</v>
      </c>
      <c r="V44" s="7">
        <f t="shared" si="32"/>
        <v>4573197.2700000005</v>
      </c>
      <c r="W44" s="7">
        <f t="shared" si="32"/>
        <v>45000</v>
      </c>
      <c r="X44" s="7">
        <f t="shared" si="32"/>
        <v>5560818.540000001</v>
      </c>
    </row>
    <row r="45" spans="1:24" x14ac:dyDescent="0.3">
      <c r="A45" s="22"/>
      <c r="B45" s="23"/>
      <c r="C45" s="23"/>
      <c r="D45" s="24"/>
      <c r="E45" s="25"/>
      <c r="G45" s="27"/>
      <c r="H45" s="23">
        <f>G44+H44-18562125.23</f>
        <v>0</v>
      </c>
      <c r="I45" s="28">
        <f>+I44-5560818.54</f>
        <v>0</v>
      </c>
      <c r="J45" s="28"/>
      <c r="K45" s="28"/>
      <c r="L45" s="2"/>
      <c r="T45" s="26"/>
      <c r="U45" s="26"/>
      <c r="V45" s="26"/>
    </row>
    <row r="46" spans="1:24" x14ac:dyDescent="0.3">
      <c r="A46" s="2"/>
      <c r="B46" s="29"/>
      <c r="C46" s="29"/>
      <c r="D46" s="29"/>
      <c r="E46" s="30"/>
      <c r="F46" s="31"/>
      <c r="G46" s="31"/>
      <c r="H46" s="28"/>
      <c r="I46" s="28"/>
      <c r="J46" s="28"/>
      <c r="K46" s="28"/>
    </row>
    <row r="47" spans="1:24" s="35" customFormat="1" ht="17.399999999999999" x14ac:dyDescent="0.35">
      <c r="A47" s="32"/>
      <c r="B47" s="33"/>
      <c r="C47" s="33"/>
      <c r="D47" s="34"/>
      <c r="E47" s="32"/>
      <c r="F47" s="69" t="s">
        <v>42</v>
      </c>
      <c r="G47" s="69"/>
      <c r="H47" s="34"/>
      <c r="I47" s="69" t="s">
        <v>43</v>
      </c>
      <c r="J47" s="69"/>
      <c r="K47" s="69"/>
      <c r="L47" s="2"/>
      <c r="N47" s="1"/>
      <c r="O47" s="1"/>
      <c r="P47" s="1"/>
    </row>
    <row r="48" spans="1:24" s="35" customFormat="1" ht="17.399999999999999" x14ac:dyDescent="0.35">
      <c r="A48" s="32"/>
      <c r="B48" s="33"/>
      <c r="C48" s="33"/>
      <c r="D48" s="34"/>
      <c r="E48" s="32"/>
      <c r="F48" s="36"/>
      <c r="G48" s="36"/>
      <c r="H48" s="34"/>
      <c r="I48" s="33"/>
      <c r="J48" s="33"/>
      <c r="K48" s="33"/>
      <c r="L48" s="32"/>
      <c r="N48" s="1"/>
      <c r="O48" s="1"/>
      <c r="P48" s="1"/>
    </row>
    <row r="49" spans="1:24" s="35" customFormat="1" ht="17.399999999999999" x14ac:dyDescent="0.35">
      <c r="A49" s="32"/>
      <c r="B49" s="33"/>
      <c r="C49" s="33"/>
      <c r="D49" s="34"/>
      <c r="E49" s="32"/>
      <c r="F49" s="36"/>
      <c r="G49" s="36"/>
      <c r="H49" s="34"/>
      <c r="I49" s="33"/>
      <c r="J49" s="33"/>
      <c r="K49" s="33"/>
      <c r="L49" s="32"/>
      <c r="N49" s="1"/>
      <c r="O49" s="1"/>
      <c r="P49" s="1"/>
    </row>
    <row r="50" spans="1:24" s="35" customFormat="1" ht="17.399999999999999" x14ac:dyDescent="0.35">
      <c r="A50" s="67" t="s">
        <v>48</v>
      </c>
      <c r="B50" s="67"/>
      <c r="C50" s="67"/>
      <c r="D50" s="67" t="s">
        <v>49</v>
      </c>
      <c r="E50" s="67"/>
      <c r="F50" s="67"/>
      <c r="G50" s="67"/>
      <c r="H50" s="67"/>
      <c r="I50" s="67" t="s">
        <v>45</v>
      </c>
      <c r="J50" s="67"/>
      <c r="K50" s="67"/>
      <c r="L50" s="67"/>
      <c r="N50" s="1"/>
      <c r="O50" s="1"/>
      <c r="P50" s="1"/>
    </row>
    <row r="51" spans="1:24" s="35" customFormat="1" ht="17.399999999999999" x14ac:dyDescent="0.35">
      <c r="A51" s="67" t="s">
        <v>44</v>
      </c>
      <c r="B51" s="67"/>
      <c r="C51" s="67"/>
      <c r="D51" s="68" t="s">
        <v>47</v>
      </c>
      <c r="E51" s="68"/>
      <c r="F51" s="68"/>
      <c r="G51" s="68"/>
      <c r="H51" s="68"/>
      <c r="I51" s="68" t="s">
        <v>46</v>
      </c>
      <c r="J51" s="68"/>
      <c r="K51" s="68"/>
      <c r="L51" s="68"/>
      <c r="N51" s="1"/>
      <c r="O51" s="1"/>
      <c r="P51" s="1"/>
    </row>
    <row r="53" spans="1:24" s="26" customFormat="1" x14ac:dyDescent="0.3">
      <c r="A53" s="1"/>
      <c r="E53" s="1"/>
      <c r="H53" s="3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</sheetData>
  <mergeCells count="23">
    <mergeCell ref="A51:C51"/>
    <mergeCell ref="D51:H51"/>
    <mergeCell ref="I51:L51"/>
    <mergeCell ref="F47:G47"/>
    <mergeCell ref="I47:K47"/>
    <mergeCell ref="A50:C50"/>
    <mergeCell ref="D50:H50"/>
    <mergeCell ref="I50:L50"/>
    <mergeCell ref="A1:L1"/>
    <mergeCell ref="A2:L2"/>
    <mergeCell ref="B3:F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F7:F20 F22:F34 F36:F40 F42:F43">
    <cfRule type="cellIs" dxfId="3" priority="1" operator="lessThan">
      <formula>0</formula>
    </cfRule>
  </conditionalFormatting>
  <pageMargins left="0.39370078740157483" right="0.39370078740157483" top="0.39370078740157483" bottom="0.39370078740157483" header="0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L2"/>
    </sheetView>
  </sheetViews>
  <sheetFormatPr baseColWidth="10" defaultColWidth="11.44140625" defaultRowHeight="14.4" x14ac:dyDescent="0.3"/>
  <cols>
    <col min="1" max="1" width="21.33203125" style="1" bestFit="1" customWidth="1"/>
    <col min="2" max="2" width="12.44140625" style="26" customWidth="1"/>
    <col min="3" max="3" width="10.109375" style="26" customWidth="1"/>
    <col min="4" max="4" width="12.6640625" style="26" customWidth="1"/>
    <col min="5" max="5" width="6" style="1" customWidth="1"/>
    <col min="6" max="6" width="11.88671875" style="26" customWidth="1"/>
    <col min="7" max="7" width="24.109375" style="26" bestFit="1" customWidth="1"/>
    <col min="8" max="8" width="10.6640625" style="26" customWidth="1"/>
    <col min="9" max="9" width="14.33203125" style="26" customWidth="1"/>
    <col min="10" max="10" width="10.33203125" style="26" customWidth="1"/>
    <col min="11" max="11" width="11.6640625" style="26" customWidth="1"/>
    <col min="12" max="12" width="9" style="1" customWidth="1"/>
    <col min="13" max="13" width="11.44140625" style="1"/>
    <col min="14" max="14" width="14.44140625" style="1" bestFit="1" customWidth="1"/>
    <col min="15" max="15" width="12.5546875" style="1" customWidth="1"/>
    <col min="16" max="16384" width="11.44140625" style="1"/>
  </cols>
  <sheetData>
    <row r="1" spans="1:24" s="39" customFormat="1" ht="18" customHeight="1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8"/>
    </row>
    <row r="2" spans="1:24" ht="14.1" customHeight="1" x14ac:dyDescent="0.3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N2" s="7">
        <f>N35</f>
        <v>0</v>
      </c>
      <c r="O2" s="7">
        <f t="shared" ref="O2:X2" si="0">O35</f>
        <v>2090864.87</v>
      </c>
      <c r="P2" s="7">
        <f t="shared" si="0"/>
        <v>0</v>
      </c>
      <c r="Q2" s="7">
        <f t="shared" si="0"/>
        <v>945356</v>
      </c>
      <c r="R2" s="7">
        <f t="shared" si="0"/>
        <v>0</v>
      </c>
      <c r="S2" s="7">
        <f t="shared" si="0"/>
        <v>0</v>
      </c>
      <c r="T2" s="7">
        <f t="shared" si="0"/>
        <v>3773.6</v>
      </c>
      <c r="U2" s="7">
        <f t="shared" si="0"/>
        <v>238.06</v>
      </c>
      <c r="V2" s="7">
        <f t="shared" si="0"/>
        <v>1260338.81</v>
      </c>
      <c r="W2" s="7">
        <f t="shared" si="0"/>
        <v>0</v>
      </c>
      <c r="X2" s="7">
        <f t="shared" si="0"/>
        <v>4300571.3400000008</v>
      </c>
    </row>
    <row r="3" spans="1:24" x14ac:dyDescent="0.3">
      <c r="A3" s="2"/>
      <c r="B3" s="56" t="s">
        <v>1</v>
      </c>
      <c r="C3" s="56"/>
      <c r="D3" s="57"/>
      <c r="E3" s="57"/>
      <c r="F3" s="57"/>
      <c r="G3" s="58" t="s">
        <v>2</v>
      </c>
      <c r="H3" s="58"/>
      <c r="I3" s="58"/>
      <c r="J3" s="58"/>
      <c r="K3" s="58"/>
      <c r="L3" s="4"/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3" t="s">
        <v>8</v>
      </c>
      <c r="T3" s="3" t="s">
        <v>9</v>
      </c>
      <c r="U3" s="3" t="s">
        <v>10</v>
      </c>
      <c r="V3" s="3" t="s">
        <v>11</v>
      </c>
      <c r="W3" s="3" t="s">
        <v>12</v>
      </c>
      <c r="X3" s="3" t="s">
        <v>13</v>
      </c>
    </row>
    <row r="4" spans="1:24" ht="18" customHeight="1" x14ac:dyDescent="0.3">
      <c r="A4" s="59" t="s">
        <v>14</v>
      </c>
      <c r="B4" s="61" t="s">
        <v>15</v>
      </c>
      <c r="C4" s="62" t="s">
        <v>16</v>
      </c>
      <c r="D4" s="63" t="s">
        <v>17</v>
      </c>
      <c r="E4" s="64" t="s">
        <v>18</v>
      </c>
      <c r="F4" s="65" t="s">
        <v>19</v>
      </c>
      <c r="G4" s="63" t="s">
        <v>20</v>
      </c>
      <c r="H4" s="63" t="s">
        <v>21</v>
      </c>
      <c r="I4" s="63" t="s">
        <v>22</v>
      </c>
      <c r="J4" s="63" t="s">
        <v>23</v>
      </c>
      <c r="K4" s="63" t="s">
        <v>24</v>
      </c>
      <c r="L4" s="4" t="s">
        <v>25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8" customHeight="1" x14ac:dyDescent="0.3">
      <c r="A5" s="60"/>
      <c r="B5" s="61"/>
      <c r="C5" s="62"/>
      <c r="D5" s="63"/>
      <c r="E5" s="64"/>
      <c r="F5" s="66"/>
      <c r="G5" s="63"/>
      <c r="H5" s="63"/>
      <c r="I5" s="63"/>
      <c r="J5" s="63"/>
      <c r="K5" s="63"/>
      <c r="L5" s="3" t="s">
        <v>26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6" t="s">
        <v>51</v>
      </c>
      <c r="B6" s="7">
        <f>SUM(B7:C21)</f>
        <v>55465944.810000002</v>
      </c>
      <c r="C6" s="8"/>
      <c r="D6" s="7">
        <f>SUM(D7:D21)</f>
        <v>34578747.269999996</v>
      </c>
      <c r="E6" s="9"/>
      <c r="F6" s="7">
        <f>SUM(F7:F21)</f>
        <v>20887197.539999999</v>
      </c>
      <c r="G6" s="7"/>
      <c r="H6" s="7"/>
      <c r="I6" s="7"/>
      <c r="J6" s="7"/>
      <c r="K6" s="7"/>
      <c r="L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3">
      <c r="A7" s="11" t="s">
        <v>27</v>
      </c>
      <c r="B7" s="12">
        <v>656105</v>
      </c>
      <c r="C7" s="12">
        <v>0</v>
      </c>
      <c r="D7" s="12">
        <v>538324.1</v>
      </c>
      <c r="E7" s="13">
        <f t="shared" ref="E7:E21" si="1">D7/B7</f>
        <v>0.82048467851944429</v>
      </c>
      <c r="F7" s="14">
        <f t="shared" ref="F7:F21" si="2">B7+C7-D7</f>
        <v>117780.90000000002</v>
      </c>
      <c r="G7" s="12">
        <f>42368.89+75412.01</f>
        <v>117780.9</v>
      </c>
      <c r="H7" s="12">
        <v>0</v>
      </c>
      <c r="I7" s="14">
        <f t="shared" ref="I7:I31" si="3">X7</f>
        <v>0</v>
      </c>
      <c r="J7" s="14">
        <v>0</v>
      </c>
      <c r="K7" s="14">
        <f t="shared" ref="K7:K21" si="4">F7-(G7+H7-I7-J7)</f>
        <v>0</v>
      </c>
      <c r="L7" s="15">
        <f>D7/(B7+C7)</f>
        <v>0.82048467851944429</v>
      </c>
      <c r="M7" s="16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f t="shared" ref="X7:X34" si="5">SUM(N7:W7)</f>
        <v>0</v>
      </c>
    </row>
    <row r="8" spans="1:24" x14ac:dyDescent="0.3">
      <c r="A8" s="11" t="s">
        <v>28</v>
      </c>
      <c r="B8" s="12">
        <v>13371297.310000001</v>
      </c>
      <c r="C8" s="12">
        <v>760.38</v>
      </c>
      <c r="D8" s="12">
        <v>14638688.66</v>
      </c>
      <c r="E8" s="13">
        <f t="shared" si="1"/>
        <v>1.0947844715899149</v>
      </c>
      <c r="F8" s="12">
        <f t="shared" si="2"/>
        <v>-1266630.9699999988</v>
      </c>
      <c r="G8" s="12">
        <v>7330.9</v>
      </c>
      <c r="H8" s="12">
        <v>0</v>
      </c>
      <c r="I8" s="14">
        <f t="shared" si="3"/>
        <v>1273961.8700000001</v>
      </c>
      <c r="J8" s="14">
        <v>0</v>
      </c>
      <c r="K8" s="14">
        <f t="shared" si="4"/>
        <v>0</v>
      </c>
      <c r="L8" s="15">
        <f t="shared" ref="L8:L21" si="6">D8/(B8+C8)</f>
        <v>1.0947222184770575</v>
      </c>
      <c r="M8" s="16"/>
      <c r="N8" s="5">
        <v>0</v>
      </c>
      <c r="O8" s="5">
        <f>692000+864.87</f>
        <v>692864.87</v>
      </c>
      <c r="P8" s="5">
        <v>0</v>
      </c>
      <c r="Q8" s="17">
        <v>121097</v>
      </c>
      <c r="R8" s="5">
        <v>0</v>
      </c>
      <c r="S8" s="5">
        <v>0</v>
      </c>
      <c r="T8" s="5">
        <v>0</v>
      </c>
      <c r="U8" s="5">
        <v>0</v>
      </c>
      <c r="V8" s="5">
        <f>300000+160000</f>
        <v>460000</v>
      </c>
      <c r="W8" s="5">
        <v>0</v>
      </c>
      <c r="X8" s="5">
        <f t="shared" si="5"/>
        <v>1273961.8700000001</v>
      </c>
    </row>
    <row r="9" spans="1:24" x14ac:dyDescent="0.3">
      <c r="A9" s="11" t="s">
        <v>29</v>
      </c>
      <c r="B9" s="12">
        <v>5776700.6900000004</v>
      </c>
      <c r="C9" s="12">
        <v>561.77</v>
      </c>
      <c r="D9" s="12">
        <v>7303200.8600000003</v>
      </c>
      <c r="E9" s="13">
        <f t="shared" si="1"/>
        <v>1.2642512139572182</v>
      </c>
      <c r="F9" s="12">
        <f t="shared" si="2"/>
        <v>-1525938.4000000004</v>
      </c>
      <c r="G9" s="12">
        <v>-99654.399999999994</v>
      </c>
      <c r="H9" s="12">
        <v>0</v>
      </c>
      <c r="I9" s="14">
        <f t="shared" si="3"/>
        <v>1426284</v>
      </c>
      <c r="J9" s="14">
        <v>0</v>
      </c>
      <c r="K9" s="14">
        <f t="shared" si="4"/>
        <v>0</v>
      </c>
      <c r="L9" s="15">
        <f t="shared" si="6"/>
        <v>1.26412828057668</v>
      </c>
      <c r="M9" s="16"/>
      <c r="N9" s="5">
        <v>0</v>
      </c>
      <c r="O9" s="5">
        <f>1050000+348000</f>
        <v>1398000</v>
      </c>
      <c r="P9" s="5">
        <v>0</v>
      </c>
      <c r="Q9" s="17">
        <v>13284</v>
      </c>
      <c r="R9" s="5">
        <v>0</v>
      </c>
      <c r="S9" s="5">
        <v>0</v>
      </c>
      <c r="T9" s="5">
        <v>0</v>
      </c>
      <c r="U9" s="5">
        <v>0</v>
      </c>
      <c r="V9" s="5">
        <v>15000</v>
      </c>
      <c r="W9" s="5">
        <v>0</v>
      </c>
      <c r="X9" s="5">
        <f t="shared" si="5"/>
        <v>1426284</v>
      </c>
    </row>
    <row r="10" spans="1:24" x14ac:dyDescent="0.3">
      <c r="A10" s="11" t="s">
        <v>30</v>
      </c>
      <c r="B10" s="12">
        <v>293878.18</v>
      </c>
      <c r="C10" s="12">
        <v>14.97</v>
      </c>
      <c r="D10" s="12">
        <v>256533.92</v>
      </c>
      <c r="E10" s="13">
        <f t="shared" si="1"/>
        <v>0.87292605391798739</v>
      </c>
      <c r="F10" s="12">
        <f>B10+C10-D10</f>
        <v>37359.229999999952</v>
      </c>
      <c r="G10" s="12">
        <v>37359.230000000003</v>
      </c>
      <c r="H10" s="12">
        <v>0</v>
      </c>
      <c r="I10" s="14">
        <f t="shared" si="3"/>
        <v>0</v>
      </c>
      <c r="J10" s="14">
        <v>0</v>
      </c>
      <c r="K10" s="14">
        <f t="shared" si="4"/>
        <v>0</v>
      </c>
      <c r="L10" s="15">
        <f t="shared" si="6"/>
        <v>0.87288158978866992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f t="shared" si="5"/>
        <v>0</v>
      </c>
    </row>
    <row r="11" spans="1:24" x14ac:dyDescent="0.3">
      <c r="A11" s="11" t="s">
        <v>31</v>
      </c>
      <c r="B11" s="12">
        <v>319621.01</v>
      </c>
      <c r="C11" s="12">
        <v>11.44</v>
      </c>
      <c r="D11" s="12">
        <v>309765.37</v>
      </c>
      <c r="E11" s="13">
        <f t="shared" si="1"/>
        <v>0.96916460529299997</v>
      </c>
      <c r="F11" s="12">
        <f>B11+C11-D11</f>
        <v>9867.0800000000163</v>
      </c>
      <c r="G11" s="12">
        <v>9867.08</v>
      </c>
      <c r="H11" s="12">
        <v>0</v>
      </c>
      <c r="I11" s="14">
        <f t="shared" si="3"/>
        <v>0</v>
      </c>
      <c r="J11" s="14">
        <v>0</v>
      </c>
      <c r="K11" s="14">
        <f t="shared" si="4"/>
        <v>1.6370904631912708E-11</v>
      </c>
      <c r="L11" s="15">
        <f t="shared" si="6"/>
        <v>0.96912991781654201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f t="shared" si="5"/>
        <v>0</v>
      </c>
    </row>
    <row r="12" spans="1:24" x14ac:dyDescent="0.3">
      <c r="A12" s="11" t="s">
        <v>32</v>
      </c>
      <c r="B12" s="12">
        <v>332514.59999999998</v>
      </c>
      <c r="C12" s="12">
        <v>23.33</v>
      </c>
      <c r="D12" s="12">
        <v>297729.65000000002</v>
      </c>
      <c r="E12" s="13">
        <f t="shared" si="1"/>
        <v>0.89538820250298801</v>
      </c>
      <c r="F12" s="12">
        <f t="shared" si="2"/>
        <v>34808.27999999997</v>
      </c>
      <c r="G12" s="12">
        <v>20046.34</v>
      </c>
      <c r="H12" s="12">
        <v>15000</v>
      </c>
      <c r="I12" s="14">
        <f t="shared" si="3"/>
        <v>238.06</v>
      </c>
      <c r="J12" s="14">
        <v>0</v>
      </c>
      <c r="K12" s="14">
        <f t="shared" si="4"/>
        <v>0</v>
      </c>
      <c r="L12" s="15">
        <f t="shared" si="6"/>
        <v>0.8953253843854746</v>
      </c>
      <c r="M12" s="16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238.06</v>
      </c>
      <c r="V12" s="5">
        <v>0</v>
      </c>
      <c r="W12" s="5">
        <v>0</v>
      </c>
      <c r="X12" s="5">
        <f t="shared" si="5"/>
        <v>238.06</v>
      </c>
    </row>
    <row r="13" spans="1:24" x14ac:dyDescent="0.3">
      <c r="A13" s="11" t="s">
        <v>33</v>
      </c>
      <c r="B13" s="12">
        <v>261288.3</v>
      </c>
      <c r="C13" s="12">
        <v>15.03</v>
      </c>
      <c r="D13" s="12">
        <v>243470.64</v>
      </c>
      <c r="E13" s="13">
        <f t="shared" si="1"/>
        <v>0.93180842770227379</v>
      </c>
      <c r="F13" s="12">
        <f t="shared" si="2"/>
        <v>17832.689999999973</v>
      </c>
      <c r="G13" s="12">
        <v>17832.689999999999</v>
      </c>
      <c r="H13" s="12">
        <v>0</v>
      </c>
      <c r="I13" s="14">
        <f t="shared" si="3"/>
        <v>0</v>
      </c>
      <c r="J13" s="14">
        <v>0</v>
      </c>
      <c r="K13" s="14">
        <f t="shared" si="4"/>
        <v>0</v>
      </c>
      <c r="L13" s="15">
        <f t="shared" si="6"/>
        <v>0.93175483067896614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f t="shared" si="5"/>
        <v>0</v>
      </c>
    </row>
    <row r="14" spans="1:24" x14ac:dyDescent="0.3">
      <c r="A14" s="11" t="s">
        <v>34</v>
      </c>
      <c r="B14" s="12">
        <v>910039</v>
      </c>
      <c r="C14" s="12">
        <v>126.55</v>
      </c>
      <c r="D14" s="12">
        <v>531517.30000000005</v>
      </c>
      <c r="E14" s="13">
        <f>D14/B14</f>
        <v>0.58405991391577727</v>
      </c>
      <c r="F14" s="12">
        <f>B14+C14-D14</f>
        <v>378648.25</v>
      </c>
      <c r="G14" s="12">
        <v>78648.25</v>
      </c>
      <c r="H14" s="12">
        <v>300000</v>
      </c>
      <c r="I14" s="14">
        <f t="shared" si="3"/>
        <v>0</v>
      </c>
      <c r="J14" s="14">
        <v>0</v>
      </c>
      <c r="K14" s="14">
        <f t="shared" si="4"/>
        <v>0</v>
      </c>
      <c r="L14" s="15">
        <f t="shared" si="6"/>
        <v>0.58397870585191891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f t="shared" si="5"/>
        <v>0</v>
      </c>
    </row>
    <row r="15" spans="1:24" x14ac:dyDescent="0.3">
      <c r="A15" s="11" t="s">
        <v>35</v>
      </c>
      <c r="B15" s="12">
        <v>29180.2</v>
      </c>
      <c r="C15" s="12">
        <v>3.6</v>
      </c>
      <c r="D15" s="12">
        <v>17500</v>
      </c>
      <c r="E15" s="13">
        <f t="shared" si="1"/>
        <v>0.59972172911768939</v>
      </c>
      <c r="F15" s="12">
        <f t="shared" si="2"/>
        <v>11683.8</v>
      </c>
      <c r="G15" s="12">
        <v>11683.8</v>
      </c>
      <c r="H15" s="12">
        <v>0</v>
      </c>
      <c r="I15" s="14">
        <f t="shared" si="3"/>
        <v>0</v>
      </c>
      <c r="J15" s="14">
        <v>0</v>
      </c>
      <c r="K15" s="14">
        <f t="shared" si="4"/>
        <v>0</v>
      </c>
      <c r="L15" s="15">
        <f t="shared" si="6"/>
        <v>0.59964774977898694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f t="shared" si="5"/>
        <v>0</v>
      </c>
    </row>
    <row r="16" spans="1:24" x14ac:dyDescent="0.3">
      <c r="A16" s="11" t="s">
        <v>36</v>
      </c>
      <c r="B16" s="12">
        <v>26652585</v>
      </c>
      <c r="C16" s="12">
        <v>75838.12</v>
      </c>
      <c r="D16" s="12">
        <v>4784568.3899999997</v>
      </c>
      <c r="E16" s="13">
        <f t="shared" si="1"/>
        <v>0.17951611035102222</v>
      </c>
      <c r="F16" s="12">
        <f t="shared" si="2"/>
        <v>21943854.73</v>
      </c>
      <c r="G16" s="12">
        <v>19805419.34</v>
      </c>
      <c r="H16" s="12">
        <v>2138435.39</v>
      </c>
      <c r="I16" s="14">
        <f t="shared" si="3"/>
        <v>0</v>
      </c>
      <c r="J16" s="14">
        <v>0</v>
      </c>
      <c r="K16" s="14">
        <f>F16-(G16+H16-I16-J16)</f>
        <v>0</v>
      </c>
      <c r="L16" s="15">
        <f t="shared" si="6"/>
        <v>0.17900675877956543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f t="shared" si="5"/>
        <v>0</v>
      </c>
    </row>
    <row r="17" spans="1:24" x14ac:dyDescent="0.3">
      <c r="A17" s="11" t="s">
        <v>37</v>
      </c>
      <c r="B17" s="12">
        <v>6378762</v>
      </c>
      <c r="C17" s="12">
        <v>844.49</v>
      </c>
      <c r="D17" s="12">
        <v>5452661.5300000003</v>
      </c>
      <c r="E17" s="13">
        <f t="shared" si="1"/>
        <v>0.85481501426138806</v>
      </c>
      <c r="F17" s="12">
        <f t="shared" si="2"/>
        <v>926944.96</v>
      </c>
      <c r="G17" s="12">
        <v>941758.96</v>
      </c>
      <c r="H17" s="12">
        <v>0</v>
      </c>
      <c r="I17" s="14">
        <f t="shared" si="3"/>
        <v>14814</v>
      </c>
      <c r="J17" s="14">
        <v>0</v>
      </c>
      <c r="K17" s="14">
        <f t="shared" si="4"/>
        <v>0</v>
      </c>
      <c r="L17" s="15">
        <f t="shared" si="6"/>
        <v>0.85470185951861122</v>
      </c>
      <c r="M17" s="16"/>
      <c r="N17" s="5">
        <v>0</v>
      </c>
      <c r="O17" s="5">
        <v>0</v>
      </c>
      <c r="P17" s="5">
        <v>0</v>
      </c>
      <c r="Q17" s="17">
        <v>14814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f t="shared" si="5"/>
        <v>14814</v>
      </c>
    </row>
    <row r="18" spans="1:24" x14ac:dyDescent="0.3">
      <c r="A18" s="11" t="s">
        <v>38</v>
      </c>
      <c r="B18" s="12">
        <v>209356.54</v>
      </c>
      <c r="C18" s="12">
        <v>9.91</v>
      </c>
      <c r="D18" s="12">
        <v>176154.05</v>
      </c>
      <c r="E18" s="13">
        <f t="shared" si="1"/>
        <v>0.84140696058503828</v>
      </c>
      <c r="F18" s="12">
        <f t="shared" si="2"/>
        <v>33212.400000000023</v>
      </c>
      <c r="G18" s="12">
        <v>33212.400000000001</v>
      </c>
      <c r="H18" s="12">
        <v>0</v>
      </c>
      <c r="I18" s="14">
        <f t="shared" si="3"/>
        <v>0</v>
      </c>
      <c r="J18" s="14">
        <v>0</v>
      </c>
      <c r="K18" s="14">
        <f t="shared" si="4"/>
        <v>0</v>
      </c>
      <c r="L18" s="15">
        <f t="shared" si="6"/>
        <v>0.84136713403699581</v>
      </c>
      <c r="M18" s="16"/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f t="shared" si="5"/>
        <v>0</v>
      </c>
    </row>
    <row r="19" spans="1:24" x14ac:dyDescent="0.3">
      <c r="A19" s="11" t="s">
        <v>39</v>
      </c>
      <c r="B19" s="12">
        <v>22425.18</v>
      </c>
      <c r="C19" s="12">
        <v>0.5</v>
      </c>
      <c r="D19" s="12">
        <v>18652.79</v>
      </c>
      <c r="E19" s="13">
        <f t="shared" si="1"/>
        <v>0.83177883076077874</v>
      </c>
      <c r="F19" s="12">
        <f t="shared" si="2"/>
        <v>3772.8899999999994</v>
      </c>
      <c r="G19" s="12">
        <v>3772.89</v>
      </c>
      <c r="H19" s="12">
        <v>0</v>
      </c>
      <c r="I19" s="14">
        <f t="shared" si="3"/>
        <v>0</v>
      </c>
      <c r="J19" s="14">
        <v>0</v>
      </c>
      <c r="K19" s="14">
        <f t="shared" si="4"/>
        <v>0</v>
      </c>
      <c r="L19" s="15">
        <f t="shared" si="6"/>
        <v>0.83176028552980341</v>
      </c>
      <c r="M19" s="16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f t="shared" si="5"/>
        <v>0</v>
      </c>
    </row>
    <row r="20" spans="1:24" x14ac:dyDescent="0.3">
      <c r="A20" s="11" t="s">
        <v>52</v>
      </c>
      <c r="B20" s="12">
        <v>9980.01</v>
      </c>
      <c r="C20" s="12">
        <v>0</v>
      </c>
      <c r="D20" s="12">
        <v>9980.01</v>
      </c>
      <c r="E20" s="13">
        <f t="shared" ref="E20" si="7">D20/B20</f>
        <v>1</v>
      </c>
      <c r="F20" s="12">
        <f t="shared" ref="F20" si="8">B20+C20-D20</f>
        <v>0</v>
      </c>
      <c r="G20" s="12">
        <v>0</v>
      </c>
      <c r="H20" s="12">
        <v>0</v>
      </c>
      <c r="I20" s="14">
        <f t="shared" ref="I20" si="9">X20</f>
        <v>0</v>
      </c>
      <c r="J20" s="14">
        <v>0</v>
      </c>
      <c r="K20" s="14">
        <f t="shared" ref="K20" si="10">F20-(G20+H20-I20-J20)</f>
        <v>0</v>
      </c>
      <c r="L20" s="15">
        <f t="shared" ref="L20" si="11">D20/(B20+C20)</f>
        <v>1</v>
      </c>
      <c r="M20" s="16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f t="shared" ref="X20" si="12">SUM(N20:W20)</f>
        <v>0</v>
      </c>
    </row>
    <row r="21" spans="1:24" x14ac:dyDescent="0.3">
      <c r="A21" s="11" t="s">
        <v>135</v>
      </c>
      <c r="B21" s="12">
        <v>163959</v>
      </c>
      <c r="C21" s="12">
        <v>42.7</v>
      </c>
      <c r="D21" s="12">
        <v>0</v>
      </c>
      <c r="E21" s="13">
        <f t="shared" si="1"/>
        <v>0</v>
      </c>
      <c r="F21" s="12">
        <f t="shared" si="2"/>
        <v>164001.70000000001</v>
      </c>
      <c r="G21" s="12">
        <v>4001.7</v>
      </c>
      <c r="H21" s="12">
        <v>160000</v>
      </c>
      <c r="I21" s="14">
        <f t="shared" si="3"/>
        <v>0</v>
      </c>
      <c r="J21" s="14">
        <v>0</v>
      </c>
      <c r="K21" s="14">
        <f t="shared" si="4"/>
        <v>0</v>
      </c>
      <c r="L21" s="15">
        <f t="shared" si="6"/>
        <v>0</v>
      </c>
      <c r="M21" s="16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f t="shared" si="5"/>
        <v>0</v>
      </c>
    </row>
    <row r="22" spans="1:24" x14ac:dyDescent="0.3">
      <c r="A22" s="6" t="s">
        <v>50</v>
      </c>
      <c r="B22" s="7"/>
      <c r="C22" s="8"/>
      <c r="D22" s="7"/>
      <c r="E22" s="9"/>
      <c r="F22" s="7"/>
      <c r="G22" s="7"/>
      <c r="H22" s="7"/>
      <c r="I22" s="7"/>
      <c r="J22" s="7"/>
      <c r="K22" s="7"/>
      <c r="L22" s="1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">
      <c r="A23" s="11" t="s">
        <v>29</v>
      </c>
      <c r="B23" s="12">
        <v>12958263.5</v>
      </c>
      <c r="C23" s="12">
        <v>480.94</v>
      </c>
      <c r="D23" s="12">
        <f>12446189.99+(69500+211773.94+84351.06+135000)</f>
        <v>12946814.99</v>
      </c>
      <c r="E23" s="13">
        <f t="shared" ref="E23" si="13">D23/B23</f>
        <v>0.99911650893655624</v>
      </c>
      <c r="F23" s="12">
        <f t="shared" ref="F23" si="14">B23+C23-D23</f>
        <v>11929.449999999255</v>
      </c>
      <c r="G23" s="12">
        <v>11929.45</v>
      </c>
      <c r="H23" s="12">
        <v>0</v>
      </c>
      <c r="I23" s="14">
        <f t="shared" ref="I23:I25" si="15">X23</f>
        <v>0</v>
      </c>
      <c r="J23" s="14">
        <v>0</v>
      </c>
      <c r="K23" s="14">
        <f t="shared" ref="K23" si="16">F23-(G23+H23-I23-J23)</f>
        <v>-7.4578565545380116E-10</v>
      </c>
      <c r="L23" s="15">
        <f t="shared" ref="L23:L25" si="17">D23/(B23+C23)</f>
        <v>0.9990794285622937</v>
      </c>
      <c r="M23" s="16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f t="shared" ref="X23:X25" si="18">SUM(N23:W23)</f>
        <v>0</v>
      </c>
    </row>
    <row r="24" spans="1:24" x14ac:dyDescent="0.3">
      <c r="A24" s="11" t="s">
        <v>36</v>
      </c>
      <c r="B24" s="12">
        <v>46079271</v>
      </c>
      <c r="C24" s="12">
        <v>226053.93</v>
      </c>
      <c r="D24" s="12">
        <f>36267917.14+(33041.02+10004366.77)</f>
        <v>46305324.93</v>
      </c>
      <c r="E24" s="13">
        <f t="shared" ref="E24:E25" si="19">D24/B24</f>
        <v>1.0049057618554773</v>
      </c>
      <c r="F24" s="12">
        <f t="shared" ref="F24:F25" si="20">B24+C24-D24</f>
        <v>0</v>
      </c>
      <c r="G24" s="12">
        <v>-773993.47</v>
      </c>
      <c r="H24" s="12">
        <v>782913.71</v>
      </c>
      <c r="I24" s="14">
        <f t="shared" si="15"/>
        <v>291.37</v>
      </c>
      <c r="J24" s="14">
        <v>0</v>
      </c>
      <c r="K24" s="14">
        <f>F24-(G24+H24-I24-J24)</f>
        <v>-8628.8699999999899</v>
      </c>
      <c r="L24" s="15">
        <f t="shared" si="17"/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47">
        <v>291.37</v>
      </c>
      <c r="W24" s="5">
        <v>0</v>
      </c>
      <c r="X24" s="5">
        <f t="shared" si="18"/>
        <v>291.37</v>
      </c>
    </row>
    <row r="25" spans="1:24" x14ac:dyDescent="0.3">
      <c r="A25" s="11" t="s">
        <v>37</v>
      </c>
      <c r="B25" s="12">
        <v>11859681</v>
      </c>
      <c r="C25" s="12">
        <v>1244.3900000000001</v>
      </c>
      <c r="D25" s="12">
        <f>11357777.88+(165124.76+63000+57693.02+56626.56+55000+105703.17)</f>
        <v>11860925.390000001</v>
      </c>
      <c r="E25" s="13">
        <f t="shared" si="19"/>
        <v>1.000104926093712</v>
      </c>
      <c r="F25" s="12">
        <f t="shared" si="20"/>
        <v>0</v>
      </c>
      <c r="G25" s="12">
        <v>0</v>
      </c>
      <c r="H25" s="12">
        <v>0</v>
      </c>
      <c r="I25" s="14">
        <f t="shared" si="15"/>
        <v>0</v>
      </c>
      <c r="J25" s="14">
        <v>0</v>
      </c>
      <c r="K25" s="14">
        <f t="shared" ref="K25" si="21">F25-(G25+H25-I25-J25)</f>
        <v>0</v>
      </c>
      <c r="L25" s="15">
        <f t="shared" si="17"/>
        <v>1</v>
      </c>
      <c r="M25" s="16"/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f t="shared" si="18"/>
        <v>0</v>
      </c>
    </row>
    <row r="26" spans="1:24" ht="18" customHeight="1" x14ac:dyDescent="0.3">
      <c r="A26" s="6">
        <v>2023</v>
      </c>
      <c r="B26" s="7"/>
      <c r="C26" s="8"/>
      <c r="D26" s="7"/>
      <c r="E26" s="9"/>
      <c r="F26" s="7"/>
      <c r="G26" s="7"/>
      <c r="H26" s="7"/>
      <c r="I26" s="7"/>
      <c r="J26" s="7"/>
      <c r="K26" s="7"/>
      <c r="L26" s="1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">
      <c r="A27" s="11" t="s">
        <v>27</v>
      </c>
      <c r="B27" s="12">
        <v>769635.06</v>
      </c>
      <c r="C27" s="12">
        <v>0</v>
      </c>
      <c r="D27" s="12">
        <f>595863.66+50000</f>
        <v>645863.66</v>
      </c>
      <c r="E27" s="13">
        <f t="shared" ref="E27:E30" si="22">D27/B27</f>
        <v>0.83918170255913238</v>
      </c>
      <c r="F27" s="12">
        <f>B27+C27-D27</f>
        <v>123771.40000000002</v>
      </c>
      <c r="G27" s="12">
        <v>123771.4</v>
      </c>
      <c r="H27" s="12">
        <v>0</v>
      </c>
      <c r="I27" s="14">
        <f t="shared" si="3"/>
        <v>0</v>
      </c>
      <c r="J27" s="14">
        <v>0</v>
      </c>
      <c r="K27" s="14">
        <f t="shared" ref="K27:K30" si="23">F27-(G27+H27-I27-J27)</f>
        <v>0</v>
      </c>
      <c r="L27" s="15">
        <f>D27/(B27+C27)</f>
        <v>0.83918170255913238</v>
      </c>
      <c r="M27" s="16"/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f t="shared" ref="X27:X31" si="24">SUM(N27:W27)</f>
        <v>0</v>
      </c>
    </row>
    <row r="28" spans="1:24" x14ac:dyDescent="0.3">
      <c r="A28" s="11" t="s">
        <v>28</v>
      </c>
      <c r="B28" s="12">
        <v>33423404.960000001</v>
      </c>
      <c r="C28" s="12">
        <f>1+3034.42+931.23</f>
        <v>3966.65</v>
      </c>
      <c r="D28" s="12">
        <f>33910562.13-273335.23</f>
        <v>33637226.900000006</v>
      </c>
      <c r="E28" s="13">
        <f t="shared" si="22"/>
        <v>1.0063973715501429</v>
      </c>
      <c r="F28" s="12">
        <f t="shared" ref="F28:F29" si="25">B28+C28-D28</f>
        <v>-209855.29000000656</v>
      </c>
      <c r="G28" s="12">
        <v>0</v>
      </c>
      <c r="H28" s="12">
        <v>0</v>
      </c>
      <c r="I28" s="14">
        <f t="shared" si="3"/>
        <v>796161</v>
      </c>
      <c r="J28" s="14">
        <v>0</v>
      </c>
      <c r="K28" s="14">
        <f t="shared" si="23"/>
        <v>586305.70999999344</v>
      </c>
      <c r="L28" s="15">
        <f t="shared" ref="L28:L31" si="26">D28/(B28+C28)</f>
        <v>1.0062779476785793</v>
      </c>
      <c r="M28" s="16"/>
      <c r="N28" s="5">
        <v>0</v>
      </c>
      <c r="O28" s="5">
        <v>0</v>
      </c>
      <c r="P28" s="5">
        <v>0</v>
      </c>
      <c r="Q28" s="17">
        <v>796161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f t="shared" si="24"/>
        <v>796161</v>
      </c>
    </row>
    <row r="29" spans="1:24" x14ac:dyDescent="0.3">
      <c r="A29" s="11" t="s">
        <v>29</v>
      </c>
      <c r="B29" s="12">
        <v>12872633.83</v>
      </c>
      <c r="C29" s="12">
        <v>0.01</v>
      </c>
      <c r="D29" s="12">
        <f>15758061.86-1512435</f>
        <v>14245626.859999999</v>
      </c>
      <c r="E29" s="13">
        <f t="shared" si="22"/>
        <v>1.1066598373054164</v>
      </c>
      <c r="F29" s="12">
        <f t="shared" si="25"/>
        <v>-1372993.0199999996</v>
      </c>
      <c r="G29" s="12">
        <v>0</v>
      </c>
      <c r="H29" s="12">
        <v>0</v>
      </c>
      <c r="I29" s="14">
        <f t="shared" si="3"/>
        <v>786687.30999999994</v>
      </c>
      <c r="J29" s="14">
        <v>0</v>
      </c>
      <c r="K29" s="14">
        <f t="shared" si="23"/>
        <v>-586305.70999999961</v>
      </c>
      <c r="L29" s="15">
        <f t="shared" si="26"/>
        <v>1.1066598364457167</v>
      </c>
      <c r="M29" s="16"/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3773.6</v>
      </c>
      <c r="U29" s="5">
        <v>0</v>
      </c>
      <c r="V29" s="17">
        <v>782913.71</v>
      </c>
      <c r="W29" s="5">
        <v>0</v>
      </c>
      <c r="X29" s="5">
        <f t="shared" si="24"/>
        <v>786687.30999999994</v>
      </c>
    </row>
    <row r="30" spans="1:24" x14ac:dyDescent="0.3">
      <c r="A30" s="11" t="s">
        <v>36</v>
      </c>
      <c r="B30" s="12">
        <v>46529702</v>
      </c>
      <c r="C30" s="12">
        <f>1220896.18+17320.63+4327.4+6208.28+0.2+(168662.76+17922.3+4388.14+4330.48)+4963.33+0.18+2016.07+1430.67+5628.27+1053.28+72.09+(216.22)+(70.77+46.51+0.28)</f>
        <v>1459554.0399999998</v>
      </c>
      <c r="D30" s="12">
        <f>35733267.27+3839504.29+3458069.19+4934074.61+4135.42+2956.56+3058.53</f>
        <v>47975065.870000005</v>
      </c>
      <c r="E30" s="13">
        <f t="shared" si="22"/>
        <v>1.0310632522426213</v>
      </c>
      <c r="F30" s="12">
        <f>B30+C30-D30</f>
        <v>14190.169999994338</v>
      </c>
      <c r="G30" s="12">
        <v>12.25</v>
      </c>
      <c r="H30" s="12">
        <f>5561.3</f>
        <v>5561.3</v>
      </c>
      <c r="I30" s="14">
        <f t="shared" si="3"/>
        <v>12.25</v>
      </c>
      <c r="J30" s="14">
        <v>0</v>
      </c>
      <c r="K30" s="14">
        <f t="shared" si="23"/>
        <v>8628.8699999943383</v>
      </c>
      <c r="L30" s="15">
        <f t="shared" si="26"/>
        <v>0.9997043052722433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12.25</v>
      </c>
      <c r="W30" s="5">
        <v>0</v>
      </c>
      <c r="X30" s="5">
        <f t="shared" si="24"/>
        <v>12.25</v>
      </c>
    </row>
    <row r="31" spans="1:24" x14ac:dyDescent="0.3">
      <c r="A31" s="18" t="s">
        <v>40</v>
      </c>
      <c r="B31" s="12">
        <v>0</v>
      </c>
      <c r="C31" s="19">
        <v>0</v>
      </c>
      <c r="D31" s="12">
        <v>0</v>
      </c>
      <c r="E31" s="13">
        <v>0</v>
      </c>
      <c r="F31" s="12">
        <f>B31+C31-D31</f>
        <v>0</v>
      </c>
      <c r="G31" s="12">
        <v>2121.48</v>
      </c>
      <c r="H31" s="12">
        <v>0</v>
      </c>
      <c r="I31" s="14">
        <f t="shared" si="3"/>
        <v>2121.48</v>
      </c>
      <c r="J31" s="14">
        <v>0</v>
      </c>
      <c r="K31" s="14">
        <f>F31-(G31+H31-I31-J31)</f>
        <v>0</v>
      </c>
      <c r="L31" s="15" t="e">
        <f t="shared" si="26"/>
        <v>#DIV/0!</v>
      </c>
      <c r="M31" s="16"/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2121.48</v>
      </c>
      <c r="W31" s="5">
        <v>0</v>
      </c>
      <c r="X31" s="5">
        <f t="shared" si="24"/>
        <v>2121.48</v>
      </c>
    </row>
    <row r="32" spans="1:24" ht="18" customHeight="1" x14ac:dyDescent="0.3">
      <c r="A32" s="6">
        <v>2022</v>
      </c>
      <c r="B32" s="7"/>
      <c r="C32" s="8"/>
      <c r="D32" s="7"/>
      <c r="E32" s="9"/>
      <c r="F32" s="7"/>
      <c r="G32" s="7"/>
      <c r="H32" s="7"/>
      <c r="I32" s="7"/>
      <c r="J32" s="7"/>
      <c r="K32" s="7"/>
      <c r="L32" s="10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f t="shared" si="5"/>
        <v>0</v>
      </c>
    </row>
    <row r="33" spans="1:24" x14ac:dyDescent="0.3">
      <c r="A33" s="11" t="s">
        <v>28</v>
      </c>
      <c r="B33" s="12">
        <v>34768529.590000004</v>
      </c>
      <c r="C33" s="12">
        <f>22629.12+3329.45</f>
        <v>25958.57</v>
      </c>
      <c r="D33" s="12">
        <f>34787197.98+7290.18</f>
        <v>34794488.159999996</v>
      </c>
      <c r="E33" s="13">
        <f t="shared" ref="E33:E34" si="27">D33/B33</f>
        <v>1.0007466110964744</v>
      </c>
      <c r="F33" s="12">
        <f t="shared" ref="F33" si="28">B33+C33-D33</f>
        <v>0</v>
      </c>
      <c r="G33" s="12">
        <v>0</v>
      </c>
      <c r="H33" s="14">
        <v>0</v>
      </c>
      <c r="I33" s="14">
        <f>X33</f>
        <v>0</v>
      </c>
      <c r="J33" s="14">
        <v>0</v>
      </c>
      <c r="K33" s="14">
        <f t="shared" ref="K33:K34" si="29">F33-(G33+H33-I33-J33)</f>
        <v>0</v>
      </c>
      <c r="L33" s="15">
        <f t="shared" ref="L33:L34" si="30">D33/(B33+C33)</f>
        <v>0.99999999999999978</v>
      </c>
      <c r="M33" s="16"/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f t="shared" si="5"/>
        <v>0</v>
      </c>
    </row>
    <row r="34" spans="1:24" x14ac:dyDescent="0.3">
      <c r="A34" s="11" t="s">
        <v>36</v>
      </c>
      <c r="B34" s="12">
        <v>39686429</v>
      </c>
      <c r="C34" s="12">
        <f>603825.64+1079.7+145.67+89.37+14.17+14.78+14.83+13.92+14.83+14.17+0.48</f>
        <v>605227.56000000006</v>
      </c>
      <c r="D34" s="12">
        <f>25206739.02+2326618.24+4358051.19+8322192.56+76653+0.01-0.03-0.03+1402.12</f>
        <v>40291656.079999991</v>
      </c>
      <c r="E34" s="13">
        <f t="shared" si="27"/>
        <v>1.0152502277289799</v>
      </c>
      <c r="F34" s="12">
        <f>B34+C34-D34</f>
        <v>0.48000001162290573</v>
      </c>
      <c r="G34" s="12">
        <v>0.48</v>
      </c>
      <c r="H34" s="14">
        <v>0</v>
      </c>
      <c r="I34" s="12">
        <f>X34</f>
        <v>0</v>
      </c>
      <c r="J34" s="14">
        <v>0</v>
      </c>
      <c r="K34" s="14">
        <f t="shared" si="29"/>
        <v>1.162290574896474E-8</v>
      </c>
      <c r="L34" s="15">
        <f t="shared" si="30"/>
        <v>0.9999999880868633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f t="shared" si="5"/>
        <v>0</v>
      </c>
    </row>
    <row r="35" spans="1:24" x14ac:dyDescent="0.3">
      <c r="A35" s="11" t="s">
        <v>41</v>
      </c>
      <c r="B35" s="20">
        <f>SUM(B7:B21)</f>
        <v>55387692.020000003</v>
      </c>
      <c r="C35" s="20"/>
      <c r="D35" s="20">
        <f>SUM(D7:D21)</f>
        <v>34578747.269999996</v>
      </c>
      <c r="E35" s="21"/>
      <c r="F35" s="20">
        <f>SUM(F7:F21)</f>
        <v>20887197.539999999</v>
      </c>
      <c r="G35" s="20">
        <f>SUM(G6:G34)</f>
        <v>20352901.669999998</v>
      </c>
      <c r="H35" s="20">
        <f>SUM(H7:H34)</f>
        <v>3401910.4</v>
      </c>
      <c r="I35" s="20">
        <f>SUM(I7:I34)</f>
        <v>4300571.3400000008</v>
      </c>
      <c r="J35" s="20">
        <f>SUM(J7:J34)</f>
        <v>0</v>
      </c>
      <c r="K35" s="20">
        <f>SUM(K7:K34)</f>
        <v>-9.0265528385202742E-10</v>
      </c>
      <c r="L35" s="21" t="e">
        <f>D35/#REF!</f>
        <v>#REF!</v>
      </c>
      <c r="N35" s="7">
        <f t="shared" ref="N35:X35" si="31">SUM(N7:N34)</f>
        <v>0</v>
      </c>
      <c r="O35" s="7">
        <f t="shared" si="31"/>
        <v>2090864.87</v>
      </c>
      <c r="P35" s="7">
        <f t="shared" si="31"/>
        <v>0</v>
      </c>
      <c r="Q35" s="46">
        <f t="shared" si="31"/>
        <v>945356</v>
      </c>
      <c r="R35" s="46">
        <f t="shared" si="31"/>
        <v>0</v>
      </c>
      <c r="S35" s="46">
        <f t="shared" si="31"/>
        <v>0</v>
      </c>
      <c r="T35" s="46">
        <f t="shared" si="31"/>
        <v>3773.6</v>
      </c>
      <c r="U35" s="46">
        <f t="shared" si="31"/>
        <v>238.06</v>
      </c>
      <c r="V35" s="7">
        <f t="shared" si="31"/>
        <v>1260338.81</v>
      </c>
      <c r="W35" s="7">
        <f t="shared" si="31"/>
        <v>0</v>
      </c>
      <c r="X35" s="7">
        <f t="shared" si="31"/>
        <v>4300571.3400000008</v>
      </c>
    </row>
    <row r="36" spans="1:24" x14ac:dyDescent="0.3">
      <c r="A36" s="22"/>
      <c r="B36" s="23"/>
      <c r="C36" s="23"/>
      <c r="D36" s="24"/>
      <c r="E36" s="25"/>
      <c r="G36" s="27"/>
      <c r="H36" s="23">
        <f>G35+H35-23754812.07</f>
        <v>0</v>
      </c>
      <c r="I36" s="28">
        <f>+I35-4300571.34</f>
        <v>0</v>
      </c>
      <c r="J36" s="28"/>
      <c r="K36" s="28"/>
      <c r="L36" s="2"/>
      <c r="T36" s="26"/>
      <c r="U36" s="26"/>
      <c r="V36" s="26"/>
    </row>
    <row r="37" spans="1:24" x14ac:dyDescent="0.3">
      <c r="A37" s="2"/>
      <c r="B37" s="29"/>
      <c r="C37" s="29"/>
      <c r="D37" s="29"/>
      <c r="E37" s="30"/>
      <c r="F37" s="31"/>
      <c r="G37" s="31"/>
      <c r="H37" s="28"/>
      <c r="I37" s="28"/>
      <c r="J37" s="28"/>
      <c r="K37" s="28"/>
    </row>
    <row r="38" spans="1:24" s="35" customFormat="1" ht="17.399999999999999" x14ac:dyDescent="0.35">
      <c r="A38" s="32"/>
      <c r="B38" s="33"/>
      <c r="C38" s="33"/>
      <c r="D38" s="34"/>
      <c r="E38" s="32"/>
      <c r="F38" s="69" t="s">
        <v>42</v>
      </c>
      <c r="G38" s="69"/>
      <c r="H38" s="34"/>
      <c r="I38" s="69" t="s">
        <v>43</v>
      </c>
      <c r="J38" s="69"/>
      <c r="K38" s="69"/>
      <c r="L38" s="2"/>
      <c r="N38" s="1"/>
      <c r="O38" s="1"/>
      <c r="P38" s="1"/>
    </row>
    <row r="39" spans="1:24" s="35" customFormat="1" ht="17.399999999999999" x14ac:dyDescent="0.35">
      <c r="A39" s="32"/>
      <c r="B39" s="33"/>
      <c r="C39" s="33"/>
      <c r="D39" s="34"/>
      <c r="E39" s="32"/>
      <c r="F39" s="36"/>
      <c r="G39" s="36"/>
      <c r="H39" s="34"/>
      <c r="I39" s="33"/>
      <c r="J39" s="33"/>
      <c r="K39" s="33"/>
      <c r="L39" s="32"/>
      <c r="N39" s="1"/>
      <c r="O39" s="1"/>
      <c r="P39" s="1"/>
    </row>
    <row r="40" spans="1:24" s="35" customFormat="1" ht="17.399999999999999" x14ac:dyDescent="0.35">
      <c r="A40" s="32"/>
      <c r="B40" s="33"/>
      <c r="C40" s="33"/>
      <c r="D40" s="34"/>
      <c r="E40" s="32"/>
      <c r="F40" s="36"/>
      <c r="G40" s="36"/>
      <c r="H40" s="34"/>
      <c r="I40" s="33"/>
      <c r="J40" s="33"/>
      <c r="K40" s="33"/>
      <c r="L40" s="32"/>
      <c r="N40" s="1"/>
      <c r="O40" s="1"/>
      <c r="P40" s="1"/>
    </row>
    <row r="41" spans="1:24" s="35" customFormat="1" ht="17.399999999999999" x14ac:dyDescent="0.35">
      <c r="A41" s="67" t="s">
        <v>48</v>
      </c>
      <c r="B41" s="67"/>
      <c r="C41" s="67"/>
      <c r="D41" s="67" t="s">
        <v>49</v>
      </c>
      <c r="E41" s="67"/>
      <c r="F41" s="67"/>
      <c r="G41" s="67"/>
      <c r="H41" s="67"/>
      <c r="I41" s="67" t="s">
        <v>45</v>
      </c>
      <c r="J41" s="67"/>
      <c r="K41" s="67"/>
      <c r="L41" s="67"/>
      <c r="N41" s="1"/>
      <c r="O41" s="1"/>
      <c r="P41" s="1"/>
    </row>
    <row r="42" spans="1:24" s="35" customFormat="1" ht="17.399999999999999" x14ac:dyDescent="0.35">
      <c r="A42" s="67" t="s">
        <v>44</v>
      </c>
      <c r="B42" s="67"/>
      <c r="C42" s="67"/>
      <c r="D42" s="68" t="s">
        <v>47</v>
      </c>
      <c r="E42" s="68"/>
      <c r="F42" s="68"/>
      <c r="G42" s="68"/>
      <c r="H42" s="68"/>
      <c r="I42" s="68" t="s">
        <v>46</v>
      </c>
      <c r="J42" s="68"/>
      <c r="K42" s="68"/>
      <c r="L42" s="68"/>
      <c r="N42" s="1"/>
      <c r="O42" s="1"/>
      <c r="P42" s="1"/>
    </row>
    <row r="44" spans="1:24" s="26" customFormat="1" x14ac:dyDescent="0.3">
      <c r="A44" s="1"/>
      <c r="E44" s="1"/>
      <c r="H44" s="3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mergeCells count="23">
    <mergeCell ref="A1:L1"/>
    <mergeCell ref="A2:L2"/>
    <mergeCell ref="B3:F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42:C42"/>
    <mergeCell ref="D42:H42"/>
    <mergeCell ref="I42:L42"/>
    <mergeCell ref="F38:G38"/>
    <mergeCell ref="I38:K38"/>
    <mergeCell ref="A41:C41"/>
    <mergeCell ref="D41:H41"/>
    <mergeCell ref="I41:L41"/>
  </mergeCells>
  <conditionalFormatting sqref="F7:F21 F23:F25 F27:F31 F33:F34">
    <cfRule type="cellIs" dxfId="2" priority="1" operator="lessThan">
      <formula>0</formula>
    </cfRule>
  </conditionalFormatting>
  <pageMargins left="0.39370078740157483" right="0.39370078740157483" top="0.39370078740157483" bottom="0.39370078740157483" header="0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A2" sqref="A2:L2"/>
    </sheetView>
  </sheetViews>
  <sheetFormatPr baseColWidth="10" defaultRowHeight="14.4" x14ac:dyDescent="0.3"/>
  <cols>
    <col min="1" max="1" width="21.33203125" style="1" bestFit="1" customWidth="1"/>
    <col min="2" max="2" width="12.44140625" style="26" customWidth="1"/>
    <col min="3" max="3" width="10.109375" style="26" customWidth="1"/>
    <col min="4" max="4" width="12.6640625" style="26" customWidth="1"/>
    <col min="5" max="5" width="6" style="1" customWidth="1"/>
    <col min="6" max="6" width="11.88671875" style="26" customWidth="1"/>
    <col min="7" max="7" width="24.109375" style="26" bestFit="1" customWidth="1"/>
    <col min="8" max="8" width="12.88671875" style="26" customWidth="1"/>
    <col min="9" max="9" width="14.33203125" style="26" customWidth="1"/>
    <col min="10" max="10" width="10.33203125" style="26" customWidth="1"/>
    <col min="11" max="11" width="11.6640625" style="26" customWidth="1"/>
    <col min="12" max="12" width="9" style="1" customWidth="1"/>
    <col min="13" max="13" width="11.44140625" style="1"/>
    <col min="14" max="14" width="14.44140625" style="1" bestFit="1" customWidth="1"/>
    <col min="15" max="15" width="12.5546875" style="1" customWidth="1"/>
    <col min="16" max="27" width="11.5546875" style="1"/>
  </cols>
  <sheetData>
    <row r="1" spans="1:27" ht="25.8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8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15.6" x14ac:dyDescent="0.3">
      <c r="A2" s="71" t="s">
        <v>192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N2" s="7">
        <f>N35</f>
        <v>0</v>
      </c>
      <c r="O2" s="7">
        <f t="shared" ref="O2:X2" si="0">O35</f>
        <v>864.87</v>
      </c>
      <c r="P2" s="7">
        <f t="shared" si="0"/>
        <v>0</v>
      </c>
      <c r="Q2" s="7">
        <f t="shared" si="0"/>
        <v>946364</v>
      </c>
      <c r="R2" s="7">
        <f t="shared" si="0"/>
        <v>0</v>
      </c>
      <c r="S2" s="7">
        <f t="shared" si="0"/>
        <v>0</v>
      </c>
      <c r="T2" s="7">
        <f t="shared" si="0"/>
        <v>3773.6</v>
      </c>
      <c r="U2" s="7">
        <f t="shared" si="0"/>
        <v>1859.38</v>
      </c>
      <c r="V2" s="7">
        <f t="shared" si="0"/>
        <v>1139833.8899999999</v>
      </c>
      <c r="W2" s="7">
        <f t="shared" si="0"/>
        <v>0</v>
      </c>
      <c r="X2" s="7">
        <f t="shared" si="0"/>
        <v>2092695.7399999998</v>
      </c>
    </row>
    <row r="3" spans="1:27" x14ac:dyDescent="0.3">
      <c r="A3" s="2"/>
      <c r="B3" s="56" t="s">
        <v>1</v>
      </c>
      <c r="C3" s="56"/>
      <c r="D3" s="57"/>
      <c r="E3" s="57"/>
      <c r="F3" s="57"/>
      <c r="G3" s="58" t="s">
        <v>2</v>
      </c>
      <c r="H3" s="58"/>
      <c r="I3" s="58"/>
      <c r="J3" s="58"/>
      <c r="K3" s="58"/>
      <c r="L3" s="4"/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3" t="s">
        <v>8</v>
      </c>
      <c r="T3" s="3" t="s">
        <v>9</v>
      </c>
      <c r="U3" s="3" t="s">
        <v>10</v>
      </c>
      <c r="V3" s="3" t="s">
        <v>11</v>
      </c>
      <c r="W3" s="3" t="s">
        <v>12</v>
      </c>
      <c r="X3" s="3" t="s">
        <v>13</v>
      </c>
    </row>
    <row r="4" spans="1:27" x14ac:dyDescent="0.3">
      <c r="A4" s="59" t="s">
        <v>14</v>
      </c>
      <c r="B4" s="61" t="s">
        <v>15</v>
      </c>
      <c r="C4" s="62" t="s">
        <v>16</v>
      </c>
      <c r="D4" s="63" t="s">
        <v>17</v>
      </c>
      <c r="E4" s="64" t="s">
        <v>18</v>
      </c>
      <c r="F4" s="65" t="s">
        <v>19</v>
      </c>
      <c r="G4" s="63" t="s">
        <v>20</v>
      </c>
      <c r="H4" s="63" t="s">
        <v>21</v>
      </c>
      <c r="I4" s="63" t="s">
        <v>22</v>
      </c>
      <c r="J4" s="63" t="s">
        <v>23</v>
      </c>
      <c r="K4" s="63" t="s">
        <v>24</v>
      </c>
      <c r="L4" s="4" t="s">
        <v>25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7" ht="33" customHeight="1" x14ac:dyDescent="0.3">
      <c r="A5" s="60"/>
      <c r="B5" s="61"/>
      <c r="C5" s="62"/>
      <c r="D5" s="63"/>
      <c r="E5" s="64"/>
      <c r="F5" s="66"/>
      <c r="G5" s="63"/>
      <c r="H5" s="63"/>
      <c r="I5" s="63"/>
      <c r="J5" s="63"/>
      <c r="K5" s="63"/>
      <c r="L5" s="3" t="s">
        <v>26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7" x14ac:dyDescent="0.3">
      <c r="A6" s="6" t="s">
        <v>51</v>
      </c>
      <c r="B6" s="7">
        <f>SUM(B7:C21)</f>
        <v>85145012.839999989</v>
      </c>
      <c r="C6" s="8"/>
      <c r="D6" s="7">
        <f>SUM(D7:D21)</f>
        <v>57447233.589999996</v>
      </c>
      <c r="E6" s="9"/>
      <c r="F6" s="7">
        <f>SUM(F7:F21)</f>
        <v>27697779.250000004</v>
      </c>
      <c r="G6" s="7"/>
      <c r="H6" s="7"/>
      <c r="I6" s="7"/>
      <c r="J6" s="7"/>
      <c r="K6" s="7"/>
      <c r="L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7" x14ac:dyDescent="0.3">
      <c r="A7" s="11" t="s">
        <v>27</v>
      </c>
      <c r="B7" s="12">
        <v>808336.89</v>
      </c>
      <c r="C7" s="12">
        <v>276.01</v>
      </c>
      <c r="D7" s="12">
        <v>752704.47</v>
      </c>
      <c r="E7" s="13">
        <f t="shared" ref="E7:E21" si="1">D7/B7</f>
        <v>0.93117669045142792</v>
      </c>
      <c r="F7" s="14">
        <f t="shared" ref="F7:F21" si="2">B7+C7-D7</f>
        <v>55908.430000000051</v>
      </c>
      <c r="G7" s="12">
        <f>15130.19+40778.24</f>
        <v>55908.43</v>
      </c>
      <c r="H7" s="12">
        <v>0</v>
      </c>
      <c r="I7" s="14">
        <f t="shared" ref="I7:I30" si="3">X7</f>
        <v>0</v>
      </c>
      <c r="J7" s="14">
        <v>0</v>
      </c>
      <c r="K7" s="14">
        <f t="shared" ref="K7:K21" si="4">F7-(G7+H7-I7-J7)</f>
        <v>0</v>
      </c>
      <c r="L7" s="15">
        <f>D7/(B7+C7)</f>
        <v>0.93085884481931958</v>
      </c>
      <c r="M7" s="16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f t="shared" ref="X7:X34" si="5">SUM(N7:W7)</f>
        <v>0</v>
      </c>
    </row>
    <row r="8" spans="1:27" x14ac:dyDescent="0.3">
      <c r="A8" s="11" t="s">
        <v>28</v>
      </c>
      <c r="B8" s="12">
        <v>20426775.640000001</v>
      </c>
      <c r="C8" s="12">
        <v>911.85</v>
      </c>
      <c r="D8" s="12">
        <f>20791311.05+864.87</f>
        <v>20792175.920000002</v>
      </c>
      <c r="E8" s="13">
        <f t="shared" si="1"/>
        <v>1.0178882994771075</v>
      </c>
      <c r="F8" s="12">
        <f t="shared" si="2"/>
        <v>-364488.4299999997</v>
      </c>
      <c r="G8" s="12">
        <v>101607.44</v>
      </c>
      <c r="H8" s="12">
        <v>6500</v>
      </c>
      <c r="I8" s="14">
        <f t="shared" si="3"/>
        <v>472595.87</v>
      </c>
      <c r="J8" s="14">
        <v>0</v>
      </c>
      <c r="K8" s="14">
        <f t="shared" si="4"/>
        <v>0</v>
      </c>
      <c r="L8" s="15">
        <f t="shared" ref="L8:L21" si="6">D8/(B8+C8)</f>
        <v>1.0178428630347134</v>
      </c>
      <c r="M8" s="16"/>
      <c r="N8" s="5">
        <v>0</v>
      </c>
      <c r="O8" s="5">
        <v>864.87</v>
      </c>
      <c r="P8" s="5">
        <v>0</v>
      </c>
      <c r="Q8" s="17">
        <v>121731</v>
      </c>
      <c r="R8" s="5">
        <v>0</v>
      </c>
      <c r="S8" s="5">
        <v>0</v>
      </c>
      <c r="T8" s="5">
        <v>0</v>
      </c>
      <c r="U8" s="5">
        <v>0</v>
      </c>
      <c r="V8" s="5">
        <v>350000</v>
      </c>
      <c r="W8" s="5">
        <v>0</v>
      </c>
      <c r="X8" s="5">
        <f>SUM(N8:W8)</f>
        <v>472595.87</v>
      </c>
    </row>
    <row r="9" spans="1:27" x14ac:dyDescent="0.3">
      <c r="A9" s="11" t="s">
        <v>29</v>
      </c>
      <c r="B9" s="12">
        <v>10262981.810000001</v>
      </c>
      <c r="C9" s="12">
        <v>650.46</v>
      </c>
      <c r="D9" s="12">
        <v>9566087.0899999999</v>
      </c>
      <c r="E9" s="13">
        <f t="shared" si="1"/>
        <v>0.93209627251595017</v>
      </c>
      <c r="F9" s="12">
        <f t="shared" si="2"/>
        <v>697545.18000000156</v>
      </c>
      <c r="G9" s="12">
        <v>360829.18</v>
      </c>
      <c r="H9" s="12">
        <v>350000</v>
      </c>
      <c r="I9" s="14">
        <f t="shared" si="3"/>
        <v>13284</v>
      </c>
      <c r="J9" s="14">
        <v>0</v>
      </c>
      <c r="K9" s="14">
        <f t="shared" si="4"/>
        <v>1.6298145055770874E-9</v>
      </c>
      <c r="L9" s="15">
        <f t="shared" si="6"/>
        <v>0.93203720070535989</v>
      </c>
      <c r="M9" s="16"/>
      <c r="N9" s="5">
        <v>0</v>
      </c>
      <c r="O9" s="5">
        <v>0</v>
      </c>
      <c r="P9" s="5">
        <v>0</v>
      </c>
      <c r="Q9" s="17">
        <v>13284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f t="shared" si="5"/>
        <v>13284</v>
      </c>
    </row>
    <row r="10" spans="1:27" x14ac:dyDescent="0.3">
      <c r="A10" s="11" t="s">
        <v>30</v>
      </c>
      <c r="B10" s="12">
        <v>423150.59</v>
      </c>
      <c r="C10" s="12">
        <v>24.37</v>
      </c>
      <c r="D10" s="12">
        <v>376602.06</v>
      </c>
      <c r="E10" s="13">
        <f t="shared" si="1"/>
        <v>0.8899953560267988</v>
      </c>
      <c r="F10" s="12">
        <f>B10+C10-D10</f>
        <v>46572.900000000023</v>
      </c>
      <c r="G10" s="12">
        <v>46572.9</v>
      </c>
      <c r="H10" s="12">
        <v>0</v>
      </c>
      <c r="I10" s="14">
        <f t="shared" si="3"/>
        <v>0</v>
      </c>
      <c r="J10" s="14">
        <v>0</v>
      </c>
      <c r="K10" s="14">
        <f t="shared" si="4"/>
        <v>0</v>
      </c>
      <c r="L10" s="15">
        <f t="shared" si="6"/>
        <v>0.88994410255275969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f t="shared" si="5"/>
        <v>0</v>
      </c>
    </row>
    <row r="11" spans="1:27" x14ac:dyDescent="0.3">
      <c r="A11" s="11" t="s">
        <v>31</v>
      </c>
      <c r="B11" s="12">
        <v>429853.7</v>
      </c>
      <c r="C11" s="12">
        <v>13.45</v>
      </c>
      <c r="D11" s="12">
        <v>419979.07</v>
      </c>
      <c r="E11" s="13">
        <f t="shared" si="1"/>
        <v>0.9770279283393396</v>
      </c>
      <c r="F11" s="12">
        <f>B11+C11-D11</f>
        <v>9888.0800000000163</v>
      </c>
      <c r="G11" s="12">
        <v>9888.08</v>
      </c>
      <c r="H11" s="12">
        <v>0</v>
      </c>
      <c r="I11" s="14">
        <f t="shared" si="3"/>
        <v>0</v>
      </c>
      <c r="J11" s="14">
        <v>0</v>
      </c>
      <c r="K11" s="14">
        <f t="shared" si="4"/>
        <v>1.6370904631912708E-11</v>
      </c>
      <c r="L11" s="15">
        <f t="shared" si="6"/>
        <v>0.97699735836990564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f t="shared" si="5"/>
        <v>0</v>
      </c>
    </row>
    <row r="12" spans="1:27" x14ac:dyDescent="0.3">
      <c r="A12" s="11" t="s">
        <v>32</v>
      </c>
      <c r="B12" s="12">
        <v>512688.88</v>
      </c>
      <c r="C12" s="12">
        <v>37.08</v>
      </c>
      <c r="D12" s="12">
        <v>441426.46</v>
      </c>
      <c r="E12" s="13">
        <f t="shared" si="1"/>
        <v>0.86100260259204375</v>
      </c>
      <c r="F12" s="12">
        <f t="shared" si="2"/>
        <v>71299.5</v>
      </c>
      <c r="G12" s="12">
        <v>72196.37</v>
      </c>
      <c r="H12" s="12">
        <v>0</v>
      </c>
      <c r="I12" s="14">
        <f t="shared" si="3"/>
        <v>896.87</v>
      </c>
      <c r="J12" s="14">
        <v>0</v>
      </c>
      <c r="K12" s="14">
        <f t="shared" si="4"/>
        <v>0</v>
      </c>
      <c r="L12" s="15">
        <f t="shared" si="6"/>
        <v>0.86094033545717097</v>
      </c>
      <c r="M12" s="16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896.87</v>
      </c>
      <c r="V12" s="5">
        <v>0</v>
      </c>
      <c r="W12" s="5">
        <v>0</v>
      </c>
      <c r="X12" s="5">
        <f t="shared" si="5"/>
        <v>896.87</v>
      </c>
    </row>
    <row r="13" spans="1:27" x14ac:dyDescent="0.3">
      <c r="A13" s="11" t="s">
        <v>33</v>
      </c>
      <c r="B13" s="12">
        <v>396231.34</v>
      </c>
      <c r="C13" s="12">
        <v>22.98</v>
      </c>
      <c r="D13" s="12">
        <v>390262.9</v>
      </c>
      <c r="E13" s="13">
        <f t="shared" si="1"/>
        <v>0.98493698151186126</v>
      </c>
      <c r="F13" s="12">
        <f t="shared" si="2"/>
        <v>5991.4199999999837</v>
      </c>
      <c r="G13" s="12">
        <v>4968.03</v>
      </c>
      <c r="H13" s="12">
        <v>1148.4000000000001</v>
      </c>
      <c r="I13" s="14">
        <f t="shared" si="3"/>
        <v>125.01</v>
      </c>
      <c r="J13" s="14">
        <v>0</v>
      </c>
      <c r="K13" s="14">
        <f t="shared" si="4"/>
        <v>-1.6370904631912708E-11</v>
      </c>
      <c r="L13" s="15">
        <f t="shared" si="6"/>
        <v>0.98487986200377575</v>
      </c>
      <c r="M13" s="16"/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125.01</v>
      </c>
      <c r="V13" s="5">
        <v>0</v>
      </c>
      <c r="W13" s="5">
        <v>0</v>
      </c>
      <c r="X13" s="5">
        <f t="shared" si="5"/>
        <v>125.01</v>
      </c>
    </row>
    <row r="14" spans="1:27" x14ac:dyDescent="0.3">
      <c r="A14" s="11" t="s">
        <v>34</v>
      </c>
      <c r="B14" s="12">
        <v>1758919</v>
      </c>
      <c r="C14" s="12">
        <v>232.85</v>
      </c>
      <c r="D14" s="12">
        <v>1708344.4</v>
      </c>
      <c r="E14" s="13">
        <f>D14/B14</f>
        <v>0.97124677145451266</v>
      </c>
      <c r="F14" s="12">
        <f>B14+C14-D14</f>
        <v>50807.450000000186</v>
      </c>
      <c r="G14" s="12">
        <v>496.55</v>
      </c>
      <c r="H14" s="12">
        <f>1148.4+56500</f>
        <v>57648.4</v>
      </c>
      <c r="I14" s="14">
        <f t="shared" si="3"/>
        <v>7337.5</v>
      </c>
      <c r="J14" s="14">
        <v>0</v>
      </c>
      <c r="K14" s="14">
        <f t="shared" si="4"/>
        <v>1.8189894035458565E-10</v>
      </c>
      <c r="L14" s="15">
        <f t="shared" si="6"/>
        <v>0.97111821244993701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837.5</v>
      </c>
      <c r="V14" s="5">
        <v>6500</v>
      </c>
      <c r="W14" s="5">
        <v>0</v>
      </c>
      <c r="X14" s="5">
        <f t="shared" si="5"/>
        <v>7337.5</v>
      </c>
    </row>
    <row r="15" spans="1:27" x14ac:dyDescent="0.3">
      <c r="A15" s="11" t="s">
        <v>35</v>
      </c>
      <c r="B15" s="12">
        <v>70181.899999999994</v>
      </c>
      <c r="C15" s="12">
        <v>6.65</v>
      </c>
      <c r="D15" s="12">
        <v>34600</v>
      </c>
      <c r="E15" s="13">
        <f t="shared" si="1"/>
        <v>0.49300460660084727</v>
      </c>
      <c r="F15" s="12">
        <f t="shared" si="2"/>
        <v>35588.549999999988</v>
      </c>
      <c r="G15" s="12">
        <v>35588.550000000003</v>
      </c>
      <c r="H15" s="12">
        <v>0</v>
      </c>
      <c r="I15" s="14">
        <f t="shared" si="3"/>
        <v>0</v>
      </c>
      <c r="J15" s="14">
        <v>0</v>
      </c>
      <c r="K15" s="14">
        <f t="shared" si="4"/>
        <v>0</v>
      </c>
      <c r="L15" s="15">
        <f t="shared" si="6"/>
        <v>0.49295789697892328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f t="shared" si="5"/>
        <v>0</v>
      </c>
    </row>
    <row r="16" spans="1:27" x14ac:dyDescent="0.3">
      <c r="A16" s="11" t="s">
        <v>36</v>
      </c>
      <c r="B16" s="12">
        <v>39704271</v>
      </c>
      <c r="C16" s="12">
        <v>101616.86</v>
      </c>
      <c r="D16" s="12">
        <v>14438496.02</v>
      </c>
      <c r="E16" s="13">
        <f t="shared" si="1"/>
        <v>0.3636509538230786</v>
      </c>
      <c r="F16" s="12">
        <f t="shared" si="2"/>
        <v>25367391.84</v>
      </c>
      <c r="G16" s="12">
        <v>18739669.620000001</v>
      </c>
      <c r="H16" s="12">
        <v>6627722.2199999997</v>
      </c>
      <c r="I16" s="14">
        <f t="shared" si="3"/>
        <v>0</v>
      </c>
      <c r="J16" s="14">
        <v>0</v>
      </c>
      <c r="K16" s="14">
        <f>F16-(G16+H16-I16-J16)</f>
        <v>0</v>
      </c>
      <c r="L16" s="15">
        <f t="shared" si="6"/>
        <v>0.36272262211010509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f t="shared" si="5"/>
        <v>0</v>
      </c>
    </row>
    <row r="17" spans="1:24" x14ac:dyDescent="0.3">
      <c r="A17" s="11" t="s">
        <v>37</v>
      </c>
      <c r="B17" s="12">
        <v>9568143</v>
      </c>
      <c r="C17" s="12">
        <v>1520.66</v>
      </c>
      <c r="D17" s="12">
        <v>7885195.7199999997</v>
      </c>
      <c r="E17" s="13">
        <f t="shared" si="1"/>
        <v>0.82410930940308891</v>
      </c>
      <c r="F17" s="12">
        <f t="shared" si="2"/>
        <v>1684467.9400000004</v>
      </c>
      <c r="G17" s="12">
        <v>1699655.94</v>
      </c>
      <c r="H17" s="12">
        <v>0</v>
      </c>
      <c r="I17" s="14">
        <f t="shared" si="3"/>
        <v>15188</v>
      </c>
      <c r="J17" s="14">
        <v>0</v>
      </c>
      <c r="K17" s="14">
        <f t="shared" si="4"/>
        <v>0</v>
      </c>
      <c r="L17" s="15">
        <f t="shared" si="6"/>
        <v>0.82397835495087812</v>
      </c>
      <c r="M17" s="16"/>
      <c r="N17" s="5">
        <v>0</v>
      </c>
      <c r="O17" s="5">
        <v>0</v>
      </c>
      <c r="P17" s="5">
        <v>0</v>
      </c>
      <c r="Q17" s="17">
        <v>15188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f t="shared" si="5"/>
        <v>15188</v>
      </c>
    </row>
    <row r="18" spans="1:24" x14ac:dyDescent="0.3">
      <c r="A18" s="11" t="s">
        <v>38</v>
      </c>
      <c r="B18" s="12">
        <v>299865.53999999998</v>
      </c>
      <c r="C18" s="12">
        <v>14.89</v>
      </c>
      <c r="D18" s="12">
        <v>287502.68</v>
      </c>
      <c r="E18" s="13">
        <f t="shared" si="1"/>
        <v>0.95877198827181009</v>
      </c>
      <c r="F18" s="12">
        <f t="shared" si="2"/>
        <v>12377.75</v>
      </c>
      <c r="G18" s="12">
        <v>12024.65</v>
      </c>
      <c r="H18" s="12">
        <v>353.1</v>
      </c>
      <c r="I18" s="14">
        <f t="shared" si="3"/>
        <v>0</v>
      </c>
      <c r="J18" s="14">
        <v>0</v>
      </c>
      <c r="K18" s="14">
        <f t="shared" si="4"/>
        <v>0</v>
      </c>
      <c r="L18" s="15">
        <f t="shared" si="6"/>
        <v>0.95872438224795131</v>
      </c>
      <c r="M18" s="16"/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f t="shared" si="5"/>
        <v>0</v>
      </c>
    </row>
    <row r="19" spans="1:24" x14ac:dyDescent="0.3">
      <c r="A19" s="11" t="s">
        <v>39</v>
      </c>
      <c r="B19" s="12">
        <v>33637.769999999997</v>
      </c>
      <c r="C19" s="12">
        <v>0.5</v>
      </c>
      <c r="D19" s="12">
        <v>29207.79</v>
      </c>
      <c r="E19" s="13">
        <f t="shared" si="1"/>
        <v>0.86830339823359293</v>
      </c>
      <c r="F19" s="12">
        <f t="shared" si="2"/>
        <v>4430.4799999999959</v>
      </c>
      <c r="G19" s="12">
        <v>4430.4799999999996</v>
      </c>
      <c r="H19" s="12">
        <v>0</v>
      </c>
      <c r="I19" s="14">
        <f t="shared" si="3"/>
        <v>0</v>
      </c>
      <c r="J19" s="14">
        <v>0</v>
      </c>
      <c r="K19" s="14">
        <f t="shared" si="4"/>
        <v>0</v>
      </c>
      <c r="L19" s="15">
        <f t="shared" si="6"/>
        <v>0.86829049175240003</v>
      </c>
      <c r="M19" s="16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f t="shared" si="5"/>
        <v>0</v>
      </c>
    </row>
    <row r="20" spans="1:24" x14ac:dyDescent="0.3">
      <c r="A20" s="11" t="s">
        <v>52</v>
      </c>
      <c r="B20" s="12">
        <v>9980.01</v>
      </c>
      <c r="C20" s="12">
        <v>0</v>
      </c>
      <c r="D20" s="12">
        <v>9980.01</v>
      </c>
      <c r="E20" s="13">
        <f t="shared" si="1"/>
        <v>1</v>
      </c>
      <c r="F20" s="12">
        <f t="shared" si="2"/>
        <v>0</v>
      </c>
      <c r="G20" s="12">
        <v>0</v>
      </c>
      <c r="H20" s="12">
        <v>0</v>
      </c>
      <c r="I20" s="14">
        <f t="shared" si="3"/>
        <v>0</v>
      </c>
      <c r="J20" s="14">
        <v>0</v>
      </c>
      <c r="K20" s="14">
        <f t="shared" si="4"/>
        <v>0</v>
      </c>
      <c r="L20" s="15">
        <f t="shared" si="6"/>
        <v>1</v>
      </c>
      <c r="M20" s="16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f t="shared" si="5"/>
        <v>0</v>
      </c>
    </row>
    <row r="21" spans="1:24" x14ac:dyDescent="0.3">
      <c r="A21" s="11" t="s">
        <v>135</v>
      </c>
      <c r="B21" s="12">
        <v>334603</v>
      </c>
      <c r="C21" s="12">
        <v>64.16</v>
      </c>
      <c r="D21" s="12">
        <v>314669</v>
      </c>
      <c r="E21" s="13">
        <f t="shared" si="1"/>
        <v>0.94042492147410517</v>
      </c>
      <c r="F21" s="12">
        <f t="shared" si="2"/>
        <v>19998.159999999974</v>
      </c>
      <c r="G21" s="12">
        <v>19998.16</v>
      </c>
      <c r="H21" s="12">
        <v>0</v>
      </c>
      <c r="I21" s="14">
        <f t="shared" si="3"/>
        <v>0</v>
      </c>
      <c r="J21" s="14">
        <v>0</v>
      </c>
      <c r="K21" s="14">
        <f t="shared" si="4"/>
        <v>0</v>
      </c>
      <c r="L21" s="15">
        <f t="shared" si="6"/>
        <v>0.94024462991827473</v>
      </c>
      <c r="M21" s="16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f t="shared" si="5"/>
        <v>0</v>
      </c>
    </row>
    <row r="22" spans="1:24" x14ac:dyDescent="0.3">
      <c r="A22" s="6" t="s">
        <v>50</v>
      </c>
      <c r="B22" s="7"/>
      <c r="C22" s="8"/>
      <c r="D22" s="7"/>
      <c r="E22" s="9"/>
      <c r="F22" s="7"/>
      <c r="G22" s="7"/>
      <c r="H22" s="7"/>
      <c r="I22" s="7"/>
      <c r="J22" s="7"/>
      <c r="K22" s="7"/>
      <c r="L22" s="1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">
      <c r="A23" s="11" t="s">
        <v>29</v>
      </c>
      <c r="B23" s="12">
        <v>12958263.5</v>
      </c>
      <c r="C23" s="12">
        <v>480.94</v>
      </c>
      <c r="D23" s="12">
        <f>12446189.99+(69500+211773.94+84351.06+135000)+11929.45</f>
        <v>12958744.439999999</v>
      </c>
      <c r="E23" s="13">
        <f t="shared" ref="E23:E25" si="7">D23/B23</f>
        <v>1.0000371145408486</v>
      </c>
      <c r="F23" s="12">
        <f t="shared" ref="F23:F25" si="8">B23+C23-D23</f>
        <v>0</v>
      </c>
      <c r="G23" s="12">
        <v>0</v>
      </c>
      <c r="H23" s="12">
        <v>0</v>
      </c>
      <c r="I23" s="14">
        <f t="shared" ref="I23:I25" si="9">X23</f>
        <v>0</v>
      </c>
      <c r="J23" s="14">
        <v>0</v>
      </c>
      <c r="K23" s="14">
        <f t="shared" ref="K23" si="10">F23-(G23+H23-I23-J23)</f>
        <v>0</v>
      </c>
      <c r="L23" s="15">
        <f t="shared" ref="L23:L25" si="11">D23/(B23+C23)</f>
        <v>1</v>
      </c>
      <c r="M23" s="16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f t="shared" ref="X23:X25" si="12">SUM(N23:W23)</f>
        <v>0</v>
      </c>
    </row>
    <row r="24" spans="1:24" x14ac:dyDescent="0.3">
      <c r="A24" s="11" t="s">
        <v>36</v>
      </c>
      <c r="B24" s="12">
        <v>46079271</v>
      </c>
      <c r="C24" s="12">
        <v>226053.93</v>
      </c>
      <c r="D24" s="12">
        <f>36267917.14+(33041.02+10004366.77)</f>
        <v>46305324.93</v>
      </c>
      <c r="E24" s="13">
        <f t="shared" si="7"/>
        <v>1.0049057618554773</v>
      </c>
      <c r="F24" s="12">
        <f t="shared" si="8"/>
        <v>0</v>
      </c>
      <c r="G24" s="12">
        <v>-773876.91</v>
      </c>
      <c r="H24" s="12">
        <v>782913.71</v>
      </c>
      <c r="I24" s="14">
        <f t="shared" si="9"/>
        <v>407.93</v>
      </c>
      <c r="J24" s="14">
        <v>0</v>
      </c>
      <c r="K24" s="14">
        <f>F24-(G24+H24-I24-J24)</f>
        <v>-8628.8699999999299</v>
      </c>
      <c r="L24" s="15">
        <f t="shared" si="11"/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47">
        <f>291.37+116.56</f>
        <v>407.93</v>
      </c>
      <c r="W24" s="5">
        <v>0</v>
      </c>
      <c r="X24" s="5">
        <f t="shared" si="12"/>
        <v>407.93</v>
      </c>
    </row>
    <row r="25" spans="1:24" x14ac:dyDescent="0.3">
      <c r="A25" s="11" t="s">
        <v>37</v>
      </c>
      <c r="B25" s="12">
        <v>11859681</v>
      </c>
      <c r="C25" s="12">
        <v>1244.3900000000001</v>
      </c>
      <c r="D25" s="12">
        <f>11357777.88+(165124.76+63000+57693.02+56626.56+55000+105703.17)</f>
        <v>11860925.390000001</v>
      </c>
      <c r="E25" s="13">
        <f t="shared" si="7"/>
        <v>1.000104926093712</v>
      </c>
      <c r="F25" s="12">
        <f t="shared" si="8"/>
        <v>0</v>
      </c>
      <c r="G25" s="12">
        <v>0</v>
      </c>
      <c r="H25" s="12">
        <v>0</v>
      </c>
      <c r="I25" s="14">
        <f t="shared" si="9"/>
        <v>0</v>
      </c>
      <c r="J25" s="14">
        <v>0</v>
      </c>
      <c r="K25" s="14">
        <f t="shared" ref="K25" si="13">F25-(G25+H25-I25-J25)</f>
        <v>0</v>
      </c>
      <c r="L25" s="15">
        <f t="shared" si="11"/>
        <v>1</v>
      </c>
      <c r="M25" s="16"/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f t="shared" si="12"/>
        <v>0</v>
      </c>
    </row>
    <row r="26" spans="1:24" x14ac:dyDescent="0.3">
      <c r="A26" s="6">
        <v>2023</v>
      </c>
      <c r="B26" s="7"/>
      <c r="C26" s="8"/>
      <c r="D26" s="7"/>
      <c r="E26" s="9"/>
      <c r="F26" s="7"/>
      <c r="G26" s="7"/>
      <c r="H26" s="7"/>
      <c r="I26" s="7"/>
      <c r="J26" s="7"/>
      <c r="K26" s="7"/>
      <c r="L26" s="1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">
      <c r="A27" s="11" t="s">
        <v>27</v>
      </c>
      <c r="B27" s="12">
        <v>769635.06</v>
      </c>
      <c r="C27" s="12">
        <v>0</v>
      </c>
      <c r="D27" s="12">
        <f>595863.66+50000</f>
        <v>645863.66</v>
      </c>
      <c r="E27" s="13">
        <f t="shared" ref="E27:E30" si="14">D27/B27</f>
        <v>0.83918170255913238</v>
      </c>
      <c r="F27" s="12">
        <f>B27+C27-D27</f>
        <v>123771.40000000002</v>
      </c>
      <c r="G27" s="12">
        <v>123771.4</v>
      </c>
      <c r="H27" s="12">
        <v>0</v>
      </c>
      <c r="I27" s="14">
        <f t="shared" si="3"/>
        <v>0</v>
      </c>
      <c r="J27" s="14">
        <v>0</v>
      </c>
      <c r="K27" s="14">
        <f t="shared" ref="K27:K30" si="15">F27-(G27+H27-I27-J27)</f>
        <v>0</v>
      </c>
      <c r="L27" s="15">
        <f>D27/(B27+C27)</f>
        <v>0.83918170255913238</v>
      </c>
      <c r="M27" s="16"/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f t="shared" ref="X27:X31" si="16">SUM(N27:W27)</f>
        <v>0</v>
      </c>
    </row>
    <row r="28" spans="1:24" x14ac:dyDescent="0.3">
      <c r="A28" s="11" t="s">
        <v>28</v>
      </c>
      <c r="B28" s="12">
        <v>33423404.960000001</v>
      </c>
      <c r="C28" s="12">
        <f>1+3034.42+931.23</f>
        <v>3966.65</v>
      </c>
      <c r="D28" s="12">
        <f>33910562.13-273335.23</f>
        <v>33637226.900000006</v>
      </c>
      <c r="E28" s="13">
        <f t="shared" si="14"/>
        <v>1.0063973715501429</v>
      </c>
      <c r="F28" s="12">
        <f t="shared" ref="F28:F29" si="17">B28+C28-D28</f>
        <v>-209855.29000000656</v>
      </c>
      <c r="G28" s="12">
        <v>0</v>
      </c>
      <c r="H28" s="12">
        <v>0</v>
      </c>
      <c r="I28" s="14">
        <f t="shared" si="3"/>
        <v>796161</v>
      </c>
      <c r="J28" s="14">
        <v>0</v>
      </c>
      <c r="K28" s="14">
        <f t="shared" si="15"/>
        <v>586305.70999999344</v>
      </c>
      <c r="L28" s="15">
        <f t="shared" ref="L28:L31" si="18">D28/(B28+C28)</f>
        <v>1.0062779476785793</v>
      </c>
      <c r="M28" s="16"/>
      <c r="N28" s="5">
        <v>0</v>
      </c>
      <c r="O28" s="5">
        <v>0</v>
      </c>
      <c r="P28" s="5">
        <v>0</v>
      </c>
      <c r="Q28" s="17">
        <v>796161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f t="shared" si="16"/>
        <v>796161</v>
      </c>
    </row>
    <row r="29" spans="1:24" x14ac:dyDescent="0.3">
      <c r="A29" s="11" t="s">
        <v>29</v>
      </c>
      <c r="B29" s="12">
        <v>12872633.83</v>
      </c>
      <c r="C29" s="12">
        <v>0.01</v>
      </c>
      <c r="D29" s="12">
        <f>15758061.86-1512435</f>
        <v>14245626.859999999</v>
      </c>
      <c r="E29" s="13">
        <f t="shared" si="14"/>
        <v>1.1066598373054164</v>
      </c>
      <c r="F29" s="12">
        <f t="shared" si="17"/>
        <v>-1372993.0199999996</v>
      </c>
      <c r="G29" s="12">
        <v>0</v>
      </c>
      <c r="H29" s="12">
        <v>0</v>
      </c>
      <c r="I29" s="14">
        <f t="shared" si="3"/>
        <v>786687.30999999994</v>
      </c>
      <c r="J29" s="14">
        <v>0</v>
      </c>
      <c r="K29" s="14">
        <f t="shared" si="15"/>
        <v>-586305.70999999961</v>
      </c>
      <c r="L29" s="15">
        <f t="shared" si="18"/>
        <v>1.1066598364457167</v>
      </c>
      <c r="M29" s="16"/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3773.6</v>
      </c>
      <c r="U29" s="5">
        <v>0</v>
      </c>
      <c r="V29" s="17">
        <v>782913.71</v>
      </c>
      <c r="W29" s="5">
        <v>0</v>
      </c>
      <c r="X29" s="5">
        <f t="shared" si="16"/>
        <v>786687.30999999994</v>
      </c>
    </row>
    <row r="30" spans="1:24" x14ac:dyDescent="0.3">
      <c r="A30" s="11" t="s">
        <v>36</v>
      </c>
      <c r="B30" s="12">
        <v>46529702</v>
      </c>
      <c r="C30" s="12">
        <f>1220896.18+17320.63+4327.4+6208.28+0.2+(168662.76+17922.3+4388.14+4330.48)+4963.33+0.18+2016.07+1430.67+5628.27+1053.28+72.09+(216.22)+(70.77+46.51+0.28)</f>
        <v>1459554.0399999998</v>
      </c>
      <c r="D30" s="12">
        <f>35733267.27+3839504.29+3458069.19+4934074.61+4135.42+2956.56+3058.53</f>
        <v>47975065.870000005</v>
      </c>
      <c r="E30" s="13">
        <f t="shared" si="14"/>
        <v>1.0310632522426213</v>
      </c>
      <c r="F30" s="12">
        <f>B30+C30-D30</f>
        <v>14190.169999994338</v>
      </c>
      <c r="G30" s="12">
        <v>12.25</v>
      </c>
      <c r="H30" s="12">
        <f>5561.3</f>
        <v>5561.3</v>
      </c>
      <c r="I30" s="14">
        <f t="shared" si="3"/>
        <v>12.25</v>
      </c>
      <c r="J30" s="14">
        <v>0</v>
      </c>
      <c r="K30" s="14">
        <f t="shared" si="15"/>
        <v>8628.8699999943383</v>
      </c>
      <c r="L30" s="15">
        <f t="shared" si="18"/>
        <v>0.9997043052722433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12.25</v>
      </c>
      <c r="W30" s="5">
        <v>0</v>
      </c>
      <c r="X30" s="5">
        <f t="shared" si="16"/>
        <v>12.25</v>
      </c>
    </row>
    <row r="31" spans="1:24" x14ac:dyDescent="0.3">
      <c r="A31" s="18" t="s">
        <v>40</v>
      </c>
      <c r="B31" s="12">
        <v>0</v>
      </c>
      <c r="C31" s="19">
        <v>0</v>
      </c>
      <c r="D31" s="12">
        <v>0</v>
      </c>
      <c r="E31" s="13">
        <v>0</v>
      </c>
      <c r="F31" s="12">
        <f>B31+C31-D31</f>
        <v>0</v>
      </c>
      <c r="G31" s="12">
        <v>0</v>
      </c>
      <c r="H31" s="12">
        <v>0</v>
      </c>
      <c r="I31" s="14">
        <v>0</v>
      </c>
      <c r="J31" s="14">
        <v>0</v>
      </c>
      <c r="K31" s="14">
        <f>F31-(G31+H31-I31-J31)</f>
        <v>0</v>
      </c>
      <c r="L31" s="15" t="e">
        <f t="shared" si="18"/>
        <v>#DIV/0!</v>
      </c>
      <c r="M31" s="16"/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f t="shared" si="16"/>
        <v>0</v>
      </c>
    </row>
    <row r="32" spans="1:24" x14ac:dyDescent="0.3">
      <c r="A32" s="6">
        <v>2022</v>
      </c>
      <c r="B32" s="7"/>
      <c r="C32" s="8"/>
      <c r="D32" s="7"/>
      <c r="E32" s="9"/>
      <c r="F32" s="7"/>
      <c r="G32" s="7"/>
      <c r="H32" s="7"/>
      <c r="I32" s="7"/>
      <c r="J32" s="7"/>
      <c r="K32" s="7"/>
      <c r="L32" s="10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f t="shared" si="5"/>
        <v>0</v>
      </c>
    </row>
    <row r="33" spans="1:27" x14ac:dyDescent="0.3">
      <c r="A33" s="11" t="s">
        <v>28</v>
      </c>
      <c r="B33" s="12">
        <v>34768529.590000004</v>
      </c>
      <c r="C33" s="12">
        <f>22629.12+3329.45</f>
        <v>25958.57</v>
      </c>
      <c r="D33" s="12">
        <f>34787197.98+7290.18</f>
        <v>34794488.159999996</v>
      </c>
      <c r="E33" s="13">
        <f t="shared" ref="E33:E34" si="19">D33/B33</f>
        <v>1.0007466110964744</v>
      </c>
      <c r="F33" s="12">
        <f t="shared" ref="F33" si="20">B33+C33-D33</f>
        <v>0</v>
      </c>
      <c r="G33" s="12">
        <v>0</v>
      </c>
      <c r="H33" s="14">
        <v>0</v>
      </c>
      <c r="I33" s="14">
        <f>X33</f>
        <v>0</v>
      </c>
      <c r="J33" s="14">
        <v>0</v>
      </c>
      <c r="K33" s="14">
        <f t="shared" ref="K33:K34" si="21">F33-(G33+H33-I33-J33)</f>
        <v>0</v>
      </c>
      <c r="L33" s="15">
        <f t="shared" ref="L33:L34" si="22">D33/(B33+C33)</f>
        <v>0.99999999999999978</v>
      </c>
      <c r="M33" s="16"/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f t="shared" si="5"/>
        <v>0</v>
      </c>
    </row>
    <row r="34" spans="1:27" x14ac:dyDescent="0.3">
      <c r="A34" s="11" t="s">
        <v>36</v>
      </c>
      <c r="B34" s="12">
        <v>39686429</v>
      </c>
      <c r="C34" s="12">
        <f>603825.64+1079.7+145.67+89.37+14.17+14.78+14.83+13.92+14.83+14.17+0.48</f>
        <v>605227.56000000006</v>
      </c>
      <c r="D34" s="12">
        <f>25206739.02+2326618.24+4358051.19+8322192.56+76653+0.01-0.03-0.03+1402.12</f>
        <v>40291656.079999991</v>
      </c>
      <c r="E34" s="13">
        <f t="shared" si="19"/>
        <v>1.0152502277289799</v>
      </c>
      <c r="F34" s="12">
        <f>B34+C34-D34</f>
        <v>0.48000001162290573</v>
      </c>
      <c r="G34" s="12">
        <v>0.48</v>
      </c>
      <c r="H34" s="14">
        <v>0</v>
      </c>
      <c r="I34" s="12">
        <f>X34</f>
        <v>0</v>
      </c>
      <c r="J34" s="14">
        <v>0</v>
      </c>
      <c r="K34" s="14">
        <f t="shared" si="21"/>
        <v>1.162290574896474E-8</v>
      </c>
      <c r="L34" s="15">
        <f t="shared" si="22"/>
        <v>0.9999999880868633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f t="shared" si="5"/>
        <v>0</v>
      </c>
    </row>
    <row r="35" spans="1:27" x14ac:dyDescent="0.3">
      <c r="A35" s="11" t="s">
        <v>41</v>
      </c>
      <c r="B35" s="20">
        <f>SUM(B7:B21)</f>
        <v>85039620.070000008</v>
      </c>
      <c r="C35" s="20"/>
      <c r="D35" s="20">
        <f>SUM(D7:D21)</f>
        <v>57447233.589999996</v>
      </c>
      <c r="E35" s="21"/>
      <c r="F35" s="20">
        <f>SUM(F7:F21)</f>
        <v>27697779.250000004</v>
      </c>
      <c r="G35" s="20">
        <f>SUM(G6:G34)</f>
        <v>20513741.600000001</v>
      </c>
      <c r="H35" s="20">
        <f>SUM(H7:H34)</f>
        <v>7831847.129999999</v>
      </c>
      <c r="I35" s="20">
        <f>SUM(I7:I34)</f>
        <v>2092695.7399999998</v>
      </c>
      <c r="J35" s="20">
        <f>SUM(J7:J34)</f>
        <v>0</v>
      </c>
      <c r="K35" s="20">
        <f>SUM(K7:K34)</f>
        <v>1.6584817963405385E-9</v>
      </c>
      <c r="L35" s="21" t="e">
        <f>D35/#REF!</f>
        <v>#REF!</v>
      </c>
      <c r="N35" s="7">
        <f t="shared" ref="N35:X35" si="23">SUM(N7:N34)</f>
        <v>0</v>
      </c>
      <c r="O35" s="7">
        <f t="shared" si="23"/>
        <v>864.87</v>
      </c>
      <c r="P35" s="7">
        <f t="shared" si="23"/>
        <v>0</v>
      </c>
      <c r="Q35" s="46">
        <f t="shared" si="23"/>
        <v>946364</v>
      </c>
      <c r="R35" s="46">
        <f t="shared" si="23"/>
        <v>0</v>
      </c>
      <c r="S35" s="46">
        <f t="shared" si="23"/>
        <v>0</v>
      </c>
      <c r="T35" s="46">
        <f t="shared" si="23"/>
        <v>3773.6</v>
      </c>
      <c r="U35" s="46">
        <f t="shared" si="23"/>
        <v>1859.38</v>
      </c>
      <c r="V35" s="7">
        <f t="shared" si="23"/>
        <v>1139833.8899999999</v>
      </c>
      <c r="W35" s="7">
        <f t="shared" si="23"/>
        <v>0</v>
      </c>
      <c r="X35" s="7">
        <f t="shared" si="23"/>
        <v>2092695.7399999998</v>
      </c>
    </row>
    <row r="36" spans="1:27" x14ac:dyDescent="0.3">
      <c r="A36" s="22"/>
      <c r="B36" s="23"/>
      <c r="C36" s="23"/>
      <c r="D36" s="24"/>
      <c r="E36" s="25"/>
      <c r="G36" s="27"/>
      <c r="H36" s="23">
        <f>7831847.13-H35</f>
        <v>0</v>
      </c>
      <c r="I36" s="28">
        <f>2092695.74-I35</f>
        <v>0</v>
      </c>
      <c r="J36" s="28"/>
      <c r="K36" s="28"/>
      <c r="L36" s="2"/>
      <c r="T36" s="26"/>
      <c r="U36" s="26"/>
      <c r="V36" s="26"/>
    </row>
    <row r="37" spans="1:27" x14ac:dyDescent="0.3">
      <c r="A37" s="2"/>
      <c r="B37" s="29"/>
      <c r="C37" s="29"/>
      <c r="D37" s="29"/>
      <c r="E37" s="30"/>
      <c r="F37" s="31"/>
      <c r="G37" s="31"/>
      <c r="H37" s="28"/>
      <c r="I37" s="28"/>
      <c r="J37" s="28"/>
      <c r="K37" s="28"/>
    </row>
    <row r="38" spans="1:27" ht="17.399999999999999" x14ac:dyDescent="0.35">
      <c r="A38" s="32"/>
      <c r="B38" s="33"/>
      <c r="C38" s="33"/>
      <c r="D38" s="34"/>
      <c r="E38" s="32"/>
      <c r="F38" s="69" t="s">
        <v>42</v>
      </c>
      <c r="G38" s="69"/>
      <c r="H38" s="34"/>
      <c r="I38" s="69" t="s">
        <v>43</v>
      </c>
      <c r="J38" s="69"/>
      <c r="K38" s="69"/>
      <c r="L38" s="2"/>
      <c r="M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7.399999999999999" x14ac:dyDescent="0.35">
      <c r="A39" s="32"/>
      <c r="B39" s="33"/>
      <c r="C39" s="33"/>
      <c r="D39" s="34"/>
      <c r="E39" s="32"/>
      <c r="F39" s="36"/>
      <c r="G39" s="36"/>
      <c r="H39" s="34"/>
      <c r="I39" s="33"/>
      <c r="J39" s="33"/>
      <c r="K39" s="33"/>
      <c r="L39" s="32"/>
      <c r="M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7.399999999999999" x14ac:dyDescent="0.35">
      <c r="A40" s="32"/>
      <c r="B40" s="33"/>
      <c r="C40" s="33"/>
      <c r="D40" s="34"/>
      <c r="E40" s="32"/>
      <c r="F40" s="36"/>
      <c r="G40" s="36"/>
      <c r="H40" s="34"/>
      <c r="I40" s="33"/>
      <c r="J40" s="33"/>
      <c r="K40" s="33"/>
      <c r="L40" s="32"/>
      <c r="M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7.399999999999999" x14ac:dyDescent="0.35">
      <c r="A41" s="67" t="s">
        <v>48</v>
      </c>
      <c r="B41" s="67"/>
      <c r="C41" s="67"/>
      <c r="D41" s="67" t="s">
        <v>49</v>
      </c>
      <c r="E41" s="67"/>
      <c r="F41" s="67"/>
      <c r="G41" s="67"/>
      <c r="H41" s="67"/>
      <c r="I41" s="67" t="s">
        <v>45</v>
      </c>
      <c r="J41" s="67"/>
      <c r="K41" s="67"/>
      <c r="L41" s="67"/>
      <c r="M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7.399999999999999" x14ac:dyDescent="0.35">
      <c r="A42" s="67" t="s">
        <v>44</v>
      </c>
      <c r="B42" s="67"/>
      <c r="C42" s="67"/>
      <c r="D42" s="68" t="s">
        <v>47</v>
      </c>
      <c r="E42" s="68"/>
      <c r="F42" s="68"/>
      <c r="G42" s="68"/>
      <c r="H42" s="68"/>
      <c r="I42" s="68" t="s">
        <v>46</v>
      </c>
      <c r="J42" s="68"/>
      <c r="K42" s="68"/>
      <c r="L42" s="68"/>
      <c r="M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4" spans="1:27" x14ac:dyDescent="0.3">
      <c r="H44" s="37"/>
      <c r="Y44" s="26"/>
      <c r="Z44" s="26"/>
      <c r="AA44" s="26"/>
    </row>
  </sheetData>
  <mergeCells count="23">
    <mergeCell ref="A42:C42"/>
    <mergeCell ref="D42:H42"/>
    <mergeCell ref="I42:L42"/>
    <mergeCell ref="F38:G38"/>
    <mergeCell ref="I38:K38"/>
    <mergeCell ref="A41:C41"/>
    <mergeCell ref="D41:H41"/>
    <mergeCell ref="I41:L41"/>
    <mergeCell ref="A1:L1"/>
    <mergeCell ref="A2:L2"/>
    <mergeCell ref="B3:F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F7:F21 F23:F25 F27:F31 F33:F34">
    <cfRule type="cellIs" dxfId="1" priority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A2" sqref="A2:L2"/>
    </sheetView>
  </sheetViews>
  <sheetFormatPr baseColWidth="10" defaultRowHeight="14.4" x14ac:dyDescent="0.3"/>
  <cols>
    <col min="1" max="1" width="21.33203125" style="1" bestFit="1" customWidth="1"/>
    <col min="2" max="2" width="12.44140625" style="26" customWidth="1"/>
    <col min="3" max="3" width="10.109375" style="26" customWidth="1"/>
    <col min="4" max="4" width="12.6640625" style="26" customWidth="1"/>
    <col min="5" max="5" width="6" style="1" customWidth="1"/>
    <col min="6" max="6" width="11.88671875" style="26" customWidth="1"/>
    <col min="7" max="7" width="24.109375" style="26" bestFit="1" customWidth="1"/>
    <col min="8" max="8" width="12.88671875" style="26" customWidth="1"/>
    <col min="9" max="9" width="14.33203125" style="26" customWidth="1"/>
    <col min="10" max="10" width="10.33203125" style="26" customWidth="1"/>
    <col min="11" max="11" width="11.6640625" style="26" customWidth="1"/>
    <col min="12" max="12" width="9" style="1" customWidth="1"/>
    <col min="13" max="13" width="11.5546875" style="1"/>
    <col min="14" max="14" width="14.44140625" style="1" bestFit="1" customWidth="1"/>
    <col min="15" max="15" width="12.5546875" style="1" customWidth="1"/>
    <col min="16" max="26" width="11.5546875" style="1"/>
  </cols>
  <sheetData>
    <row r="1" spans="1:26" ht="25.8" x14ac:dyDescent="0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38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.6" x14ac:dyDescent="0.3">
      <c r="A2" s="71" t="s">
        <v>193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N2" s="7">
        <f>N35</f>
        <v>0</v>
      </c>
      <c r="O2" s="7">
        <f t="shared" ref="O2:X2" si="0">O35</f>
        <v>0</v>
      </c>
      <c r="P2" s="7">
        <f t="shared" si="0"/>
        <v>0</v>
      </c>
      <c r="Q2" s="7">
        <f t="shared" si="0"/>
        <v>796161</v>
      </c>
      <c r="R2" s="7">
        <f t="shared" si="0"/>
        <v>0</v>
      </c>
      <c r="S2" s="7">
        <f t="shared" si="0"/>
        <v>0</v>
      </c>
      <c r="T2" s="7">
        <f t="shared" si="0"/>
        <v>3773.6</v>
      </c>
      <c r="U2" s="7">
        <f t="shared" si="0"/>
        <v>0.95</v>
      </c>
      <c r="V2" s="7">
        <f t="shared" si="0"/>
        <v>976938.53999999992</v>
      </c>
      <c r="W2" s="7">
        <f t="shared" si="0"/>
        <v>0</v>
      </c>
      <c r="X2" s="7">
        <f t="shared" si="0"/>
        <v>1776874.0899999999</v>
      </c>
    </row>
    <row r="3" spans="1:26" x14ac:dyDescent="0.3">
      <c r="A3" s="2"/>
      <c r="B3" s="56" t="s">
        <v>1</v>
      </c>
      <c r="C3" s="56"/>
      <c r="D3" s="57"/>
      <c r="E3" s="57"/>
      <c r="F3" s="57"/>
      <c r="G3" s="58" t="s">
        <v>2</v>
      </c>
      <c r="H3" s="58"/>
      <c r="I3" s="58"/>
      <c r="J3" s="58"/>
      <c r="K3" s="58"/>
      <c r="L3" s="4"/>
      <c r="N3" s="3" t="s">
        <v>3</v>
      </c>
      <c r="O3" s="3" t="s">
        <v>4</v>
      </c>
      <c r="P3" s="3" t="s">
        <v>5</v>
      </c>
      <c r="Q3" s="3" t="s">
        <v>6</v>
      </c>
      <c r="R3" s="3" t="s">
        <v>7</v>
      </c>
      <c r="S3" s="3" t="s">
        <v>8</v>
      </c>
      <c r="T3" s="3" t="s">
        <v>9</v>
      </c>
      <c r="U3" s="3" t="s">
        <v>10</v>
      </c>
      <c r="V3" s="3" t="s">
        <v>11</v>
      </c>
      <c r="W3" s="3" t="s">
        <v>12</v>
      </c>
      <c r="X3" s="3" t="s">
        <v>13</v>
      </c>
    </row>
    <row r="4" spans="1:26" x14ac:dyDescent="0.3">
      <c r="A4" s="59" t="s">
        <v>14</v>
      </c>
      <c r="B4" s="61" t="s">
        <v>15</v>
      </c>
      <c r="C4" s="62" t="s">
        <v>16</v>
      </c>
      <c r="D4" s="63" t="s">
        <v>17</v>
      </c>
      <c r="E4" s="64" t="s">
        <v>18</v>
      </c>
      <c r="F4" s="65" t="s">
        <v>19</v>
      </c>
      <c r="G4" s="63" t="s">
        <v>20</v>
      </c>
      <c r="H4" s="63" t="s">
        <v>21</v>
      </c>
      <c r="I4" s="63" t="s">
        <v>22</v>
      </c>
      <c r="J4" s="63" t="s">
        <v>23</v>
      </c>
      <c r="K4" s="63" t="s">
        <v>24</v>
      </c>
      <c r="L4" s="4" t="s">
        <v>25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x14ac:dyDescent="0.3">
      <c r="A5" s="60"/>
      <c r="B5" s="61"/>
      <c r="C5" s="62"/>
      <c r="D5" s="63"/>
      <c r="E5" s="64"/>
      <c r="F5" s="66"/>
      <c r="G5" s="63"/>
      <c r="H5" s="63"/>
      <c r="I5" s="63"/>
      <c r="J5" s="63"/>
      <c r="K5" s="63"/>
      <c r="L5" s="3" t="s">
        <v>26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6" x14ac:dyDescent="0.3">
      <c r="A6" s="6" t="s">
        <v>51</v>
      </c>
      <c r="B6" s="7">
        <f>SUM(B7:C21)</f>
        <v>109393467.25999998</v>
      </c>
      <c r="C6" s="8"/>
      <c r="D6" s="7">
        <f>SUM(D7:D21)</f>
        <v>97927648.780000001</v>
      </c>
      <c r="E6" s="9"/>
      <c r="F6" s="7">
        <f>SUM(F7:F21)</f>
        <v>11465818.479999995</v>
      </c>
      <c r="G6" s="7"/>
      <c r="H6" s="7"/>
      <c r="I6" s="7"/>
      <c r="J6" s="7"/>
      <c r="K6" s="7"/>
      <c r="L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6" x14ac:dyDescent="0.3">
      <c r="A7" s="11" t="s">
        <v>27</v>
      </c>
      <c r="B7" s="12">
        <v>1026745.92</v>
      </c>
      <c r="C7" s="12">
        <v>291.18</v>
      </c>
      <c r="D7" s="12">
        <v>853759.77</v>
      </c>
      <c r="E7" s="13">
        <f t="shared" ref="E7:E21" si="1">D7/B7</f>
        <v>0.8315200025338304</v>
      </c>
      <c r="F7" s="14">
        <f t="shared" ref="F7:F21" si="2">B7+C7-D7</f>
        <v>173277.33000000007</v>
      </c>
      <c r="G7" s="12">
        <v>173277.33</v>
      </c>
      <c r="H7" s="12">
        <v>0</v>
      </c>
      <c r="I7" s="14">
        <f t="shared" ref="I7:I30" si="3">X7</f>
        <v>0</v>
      </c>
      <c r="J7" s="14">
        <v>0</v>
      </c>
      <c r="K7" s="14">
        <f t="shared" ref="K7:K21" si="4">F7-(G7+H7-I7-J7)</f>
        <v>0</v>
      </c>
      <c r="L7" s="15">
        <f>D7/(B7+C7)</f>
        <v>0.83128425448311449</v>
      </c>
      <c r="M7" s="16"/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f t="shared" ref="X7:X34" si="5">SUM(N7:W7)</f>
        <v>0</v>
      </c>
    </row>
    <row r="8" spans="1:26" x14ac:dyDescent="0.3">
      <c r="A8" s="11" t="s">
        <v>28</v>
      </c>
      <c r="B8" s="12">
        <v>31876068.329999998</v>
      </c>
      <c r="C8" s="12">
        <v>204179.59</v>
      </c>
      <c r="D8" s="12">
        <v>31955256</v>
      </c>
      <c r="E8" s="13">
        <f t="shared" si="1"/>
        <v>1.0024842357965922</v>
      </c>
      <c r="F8" s="12">
        <f t="shared" si="2"/>
        <v>124991.91999999806</v>
      </c>
      <c r="G8" s="12">
        <v>124991.92</v>
      </c>
      <c r="H8" s="12">
        <v>0</v>
      </c>
      <c r="I8" s="14">
        <f t="shared" si="3"/>
        <v>0</v>
      </c>
      <c r="J8" s="14">
        <v>0</v>
      </c>
      <c r="K8" s="14">
        <f t="shared" si="4"/>
        <v>-1.9354047253727913E-9</v>
      </c>
      <c r="L8" s="15">
        <f t="shared" ref="L8:L21" si="6">D8/(B8+C8)</f>
        <v>0.99610377325288457</v>
      </c>
      <c r="M8" s="16"/>
      <c r="N8" s="5">
        <v>0</v>
      </c>
      <c r="O8" s="5">
        <v>0</v>
      </c>
      <c r="P8" s="5">
        <v>0</v>
      </c>
      <c r="Q8" s="17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f>SUM(N8:W8)</f>
        <v>0</v>
      </c>
    </row>
    <row r="9" spans="1:26" x14ac:dyDescent="0.3">
      <c r="A9" s="11" t="s">
        <v>29</v>
      </c>
      <c r="B9" s="12">
        <v>13360005.34</v>
      </c>
      <c r="C9" s="12">
        <v>1094.79</v>
      </c>
      <c r="D9" s="12">
        <v>13071544.060000001</v>
      </c>
      <c r="E9" s="13">
        <f t="shared" si="1"/>
        <v>0.97840859545644465</v>
      </c>
      <c r="F9" s="12">
        <f t="shared" si="2"/>
        <v>289556.06999999844</v>
      </c>
      <c r="G9" s="12">
        <v>289556.07</v>
      </c>
      <c r="H9" s="12">
        <v>0</v>
      </c>
      <c r="I9" s="14">
        <f t="shared" si="3"/>
        <v>0</v>
      </c>
      <c r="J9" s="14">
        <v>0</v>
      </c>
      <c r="K9" s="14">
        <f t="shared" si="4"/>
        <v>-1.57160684466362E-9</v>
      </c>
      <c r="L9" s="15">
        <f t="shared" si="6"/>
        <v>0.97832842601412351</v>
      </c>
      <c r="M9" s="16"/>
      <c r="N9" s="5">
        <v>0</v>
      </c>
      <c r="O9" s="5">
        <v>0</v>
      </c>
      <c r="P9" s="5">
        <v>0</v>
      </c>
      <c r="Q9" s="17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f t="shared" si="5"/>
        <v>0</v>
      </c>
    </row>
    <row r="10" spans="1:26" x14ac:dyDescent="0.3">
      <c r="A10" s="11" t="s">
        <v>30</v>
      </c>
      <c r="B10" s="12">
        <v>559299.81000000006</v>
      </c>
      <c r="C10" s="12">
        <v>28.93</v>
      </c>
      <c r="D10" s="12">
        <v>522220.84</v>
      </c>
      <c r="E10" s="13">
        <f t="shared" si="1"/>
        <v>0.93370466190574952</v>
      </c>
      <c r="F10" s="12">
        <f>B10+C10-D10</f>
        <v>37107.900000000081</v>
      </c>
      <c r="G10" s="12">
        <v>37107.9</v>
      </c>
      <c r="H10" s="12">
        <v>0</v>
      </c>
      <c r="I10" s="14">
        <f t="shared" si="3"/>
        <v>0</v>
      </c>
      <c r="J10" s="14">
        <v>0</v>
      </c>
      <c r="K10" s="14">
        <f t="shared" si="4"/>
        <v>8.0035533756017685E-11</v>
      </c>
      <c r="L10" s="15">
        <f t="shared" si="6"/>
        <v>0.93365636816731412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f t="shared" si="5"/>
        <v>0</v>
      </c>
    </row>
    <row r="11" spans="1:26" x14ac:dyDescent="0.3">
      <c r="A11" s="11" t="s">
        <v>31</v>
      </c>
      <c r="B11" s="12">
        <v>539134.18999999994</v>
      </c>
      <c r="C11" s="12">
        <v>72.510000000000005</v>
      </c>
      <c r="D11" s="12">
        <v>538172.11</v>
      </c>
      <c r="E11" s="13">
        <f t="shared" si="1"/>
        <v>0.99821550920374769</v>
      </c>
      <c r="F11" s="12">
        <f>B11+C11-D11</f>
        <v>1034.5899999999674</v>
      </c>
      <c r="G11" s="12">
        <v>1034.5899999999999</v>
      </c>
      <c r="H11" s="12">
        <v>0</v>
      </c>
      <c r="I11" s="14">
        <f t="shared" si="3"/>
        <v>0</v>
      </c>
      <c r="J11" s="14">
        <v>0</v>
      </c>
      <c r="K11" s="14">
        <f t="shared" si="4"/>
        <v>-3.2514435588382185E-11</v>
      </c>
      <c r="L11" s="15">
        <f t="shared" si="6"/>
        <v>0.99808127384173828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f t="shared" si="5"/>
        <v>0</v>
      </c>
    </row>
    <row r="12" spans="1:26" x14ac:dyDescent="0.3">
      <c r="A12" s="11" t="s">
        <v>32</v>
      </c>
      <c r="B12" s="12">
        <v>694098.72</v>
      </c>
      <c r="C12" s="12">
        <v>659.66</v>
      </c>
      <c r="D12" s="12">
        <v>694384.08</v>
      </c>
      <c r="E12" s="13">
        <f t="shared" si="1"/>
        <v>1.0004111230748272</v>
      </c>
      <c r="F12" s="12">
        <f t="shared" si="2"/>
        <v>374.30000000004657</v>
      </c>
      <c r="G12" s="12">
        <v>375.25</v>
      </c>
      <c r="H12" s="12">
        <v>0</v>
      </c>
      <c r="I12" s="14">
        <f t="shared" si="3"/>
        <v>0.95</v>
      </c>
      <c r="J12" s="14">
        <v>0</v>
      </c>
      <c r="K12" s="14">
        <f t="shared" si="4"/>
        <v>4.6554760047001764E-11</v>
      </c>
      <c r="L12" s="15">
        <f t="shared" si="6"/>
        <v>0.99946125155050303</v>
      </c>
      <c r="M12" s="16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0.95</v>
      </c>
      <c r="V12" s="5">
        <v>0</v>
      </c>
      <c r="W12" s="5">
        <v>0</v>
      </c>
      <c r="X12" s="5">
        <f t="shared" si="5"/>
        <v>0.95</v>
      </c>
    </row>
    <row r="13" spans="1:26" x14ac:dyDescent="0.3">
      <c r="A13" s="11" t="s">
        <v>33</v>
      </c>
      <c r="B13" s="12">
        <v>534650.28</v>
      </c>
      <c r="C13" s="12">
        <v>502.1</v>
      </c>
      <c r="D13" s="12">
        <v>525140.88</v>
      </c>
      <c r="E13" s="13">
        <f t="shared" si="1"/>
        <v>0.98221379403373732</v>
      </c>
      <c r="F13" s="12">
        <f t="shared" si="2"/>
        <v>10011.5</v>
      </c>
      <c r="G13" s="12">
        <v>8863.1</v>
      </c>
      <c r="H13" s="12">
        <v>1148.4000000000001</v>
      </c>
      <c r="I13" s="14">
        <f t="shared" si="3"/>
        <v>0</v>
      </c>
      <c r="J13" s="14">
        <v>0</v>
      </c>
      <c r="K13" s="14">
        <f t="shared" si="4"/>
        <v>0</v>
      </c>
      <c r="L13" s="15">
        <f t="shared" si="6"/>
        <v>0.9812922442762938</v>
      </c>
      <c r="M13" s="16"/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f t="shared" si="5"/>
        <v>0</v>
      </c>
    </row>
    <row r="14" spans="1:26" x14ac:dyDescent="0.3">
      <c r="A14" s="11" t="s">
        <v>34</v>
      </c>
      <c r="B14" s="12">
        <v>2852638</v>
      </c>
      <c r="C14" s="12">
        <v>280</v>
      </c>
      <c r="D14" s="12">
        <v>2795701.15</v>
      </c>
      <c r="E14" s="13">
        <f>D14/B14</f>
        <v>0.98004063256536578</v>
      </c>
      <c r="F14" s="12">
        <f>B14+C14-D14</f>
        <v>57216.850000000093</v>
      </c>
      <c r="G14" s="12">
        <v>56068.45</v>
      </c>
      <c r="H14" s="12">
        <v>1148.4000000000001</v>
      </c>
      <c r="I14" s="14">
        <f t="shared" si="3"/>
        <v>0</v>
      </c>
      <c r="J14" s="14">
        <v>0</v>
      </c>
      <c r="K14" s="14">
        <f t="shared" si="4"/>
        <v>9.4587448984384537E-11</v>
      </c>
      <c r="L14" s="15">
        <f t="shared" si="6"/>
        <v>0.97994444635282185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f t="shared" si="5"/>
        <v>0</v>
      </c>
    </row>
    <row r="15" spans="1:26" x14ac:dyDescent="0.3">
      <c r="A15" s="11" t="s">
        <v>35</v>
      </c>
      <c r="B15" s="12">
        <v>97514.64</v>
      </c>
      <c r="C15" s="12">
        <v>56.5</v>
      </c>
      <c r="D15" s="12">
        <v>83468.3</v>
      </c>
      <c r="E15" s="13">
        <f t="shared" si="1"/>
        <v>0.85595660302904264</v>
      </c>
      <c r="F15" s="12">
        <f t="shared" si="2"/>
        <v>14102.839999999997</v>
      </c>
      <c r="G15" s="12">
        <v>14102.84</v>
      </c>
      <c r="H15" s="12">
        <v>0</v>
      </c>
      <c r="I15" s="14">
        <f t="shared" si="3"/>
        <v>0</v>
      </c>
      <c r="J15" s="14">
        <v>0</v>
      </c>
      <c r="K15" s="14">
        <f t="shared" si="4"/>
        <v>0</v>
      </c>
      <c r="L15" s="15">
        <f t="shared" si="6"/>
        <v>0.85546094880104917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f t="shared" si="5"/>
        <v>0</v>
      </c>
    </row>
    <row r="16" spans="1:26" x14ac:dyDescent="0.3">
      <c r="A16" s="11" t="s">
        <v>36</v>
      </c>
      <c r="B16" s="12">
        <v>44049517.210000001</v>
      </c>
      <c r="C16" s="12">
        <v>0</v>
      </c>
      <c r="D16" s="12">
        <v>33303628.030000001</v>
      </c>
      <c r="E16" s="13">
        <f t="shared" si="1"/>
        <v>0.75604978531840761</v>
      </c>
      <c r="F16" s="12">
        <f t="shared" si="2"/>
        <v>10745889.18</v>
      </c>
      <c r="G16" s="12">
        <v>7609342.21</v>
      </c>
      <c r="H16" s="12">
        <v>3330151.62</v>
      </c>
      <c r="I16" s="14">
        <f t="shared" si="3"/>
        <v>193604.65</v>
      </c>
      <c r="J16" s="14">
        <v>0</v>
      </c>
      <c r="K16" s="14">
        <f>F16-(G16+H16-I16-J16)</f>
        <v>0</v>
      </c>
      <c r="L16" s="15">
        <f t="shared" si="6"/>
        <v>0.75604978531840761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193604.65</v>
      </c>
      <c r="W16" s="5">
        <v>0</v>
      </c>
      <c r="X16" s="5">
        <f t="shared" si="5"/>
        <v>193604.65</v>
      </c>
    </row>
    <row r="17" spans="1:24" x14ac:dyDescent="0.3">
      <c r="A17" s="11" t="s">
        <v>37</v>
      </c>
      <c r="B17" s="12">
        <v>12757523</v>
      </c>
      <c r="C17" s="12">
        <v>2678.85</v>
      </c>
      <c r="D17" s="12">
        <v>12760201.85</v>
      </c>
      <c r="E17" s="13">
        <f t="shared" si="1"/>
        <v>1.0002099819847474</v>
      </c>
      <c r="F17" s="12">
        <f t="shared" si="2"/>
        <v>0</v>
      </c>
      <c r="G17" s="12">
        <v>0</v>
      </c>
      <c r="H17" s="12">
        <v>0</v>
      </c>
      <c r="I17" s="14">
        <f t="shared" si="3"/>
        <v>0</v>
      </c>
      <c r="J17" s="14">
        <v>0</v>
      </c>
      <c r="K17" s="14">
        <f t="shared" si="4"/>
        <v>0</v>
      </c>
      <c r="L17" s="15">
        <f t="shared" si="6"/>
        <v>1</v>
      </c>
      <c r="M17" s="16"/>
      <c r="N17" s="5">
        <v>0</v>
      </c>
      <c r="O17" s="5">
        <v>0</v>
      </c>
      <c r="P17" s="5">
        <v>0</v>
      </c>
      <c r="Q17" s="17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f t="shared" si="5"/>
        <v>0</v>
      </c>
    </row>
    <row r="18" spans="1:24" x14ac:dyDescent="0.3">
      <c r="A18" s="11" t="s">
        <v>38</v>
      </c>
      <c r="B18" s="12">
        <v>389693.69</v>
      </c>
      <c r="C18" s="12">
        <v>176.32</v>
      </c>
      <c r="D18" s="12">
        <v>378314.72</v>
      </c>
      <c r="E18" s="13">
        <f t="shared" si="1"/>
        <v>0.97080022003948785</v>
      </c>
      <c r="F18" s="12">
        <f t="shared" si="2"/>
        <v>11555.290000000037</v>
      </c>
      <c r="G18" s="12">
        <v>11202.19</v>
      </c>
      <c r="H18" s="12">
        <v>353.1</v>
      </c>
      <c r="I18" s="14">
        <f t="shared" si="3"/>
        <v>0</v>
      </c>
      <c r="J18" s="14">
        <v>0</v>
      </c>
      <c r="K18" s="14">
        <f t="shared" si="4"/>
        <v>3.637978807091713E-11</v>
      </c>
      <c r="L18" s="15">
        <f t="shared" si="6"/>
        <v>0.97036117243283204</v>
      </c>
      <c r="M18" s="16"/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f t="shared" si="5"/>
        <v>0</v>
      </c>
    </row>
    <row r="19" spans="1:24" x14ac:dyDescent="0.3">
      <c r="A19" s="11" t="s">
        <v>39</v>
      </c>
      <c r="B19" s="12">
        <v>44850.36</v>
      </c>
      <c r="C19" s="12">
        <v>19.100000000000001</v>
      </c>
      <c r="D19" s="12">
        <v>44296.17</v>
      </c>
      <c r="E19" s="13">
        <f t="shared" si="1"/>
        <v>0.98764357744285658</v>
      </c>
      <c r="F19" s="12">
        <f t="shared" si="2"/>
        <v>573.29000000000087</v>
      </c>
      <c r="G19" s="12">
        <v>573.29</v>
      </c>
      <c r="H19" s="12">
        <v>0</v>
      </c>
      <c r="I19" s="14">
        <f t="shared" si="3"/>
        <v>0</v>
      </c>
      <c r="J19" s="14">
        <v>0</v>
      </c>
      <c r="K19" s="14">
        <f t="shared" si="4"/>
        <v>9.0949470177292824E-13</v>
      </c>
      <c r="L19" s="15">
        <f t="shared" si="6"/>
        <v>0.98722315802329685</v>
      </c>
      <c r="M19" s="16"/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f t="shared" si="5"/>
        <v>0</v>
      </c>
    </row>
    <row r="20" spans="1:24" x14ac:dyDescent="0.3">
      <c r="A20" s="11" t="s">
        <v>52</v>
      </c>
      <c r="B20" s="12">
        <v>9980.01</v>
      </c>
      <c r="C20" s="12">
        <v>0</v>
      </c>
      <c r="D20" s="12">
        <v>9980.01</v>
      </c>
      <c r="E20" s="13">
        <f t="shared" si="1"/>
        <v>1</v>
      </c>
      <c r="F20" s="12">
        <f t="shared" si="2"/>
        <v>0</v>
      </c>
      <c r="G20" s="12">
        <v>0</v>
      </c>
      <c r="H20" s="12">
        <v>0</v>
      </c>
      <c r="I20" s="14">
        <f t="shared" si="3"/>
        <v>0</v>
      </c>
      <c r="J20" s="14">
        <v>0</v>
      </c>
      <c r="K20" s="14">
        <f t="shared" si="4"/>
        <v>0</v>
      </c>
      <c r="L20" s="15">
        <f t="shared" si="6"/>
        <v>1</v>
      </c>
      <c r="M20" s="16"/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f t="shared" si="5"/>
        <v>0</v>
      </c>
    </row>
    <row r="21" spans="1:24" x14ac:dyDescent="0.3">
      <c r="A21" s="11" t="s">
        <v>135</v>
      </c>
      <c r="B21" s="12">
        <v>391637</v>
      </c>
      <c r="C21" s="12">
        <v>71.23</v>
      </c>
      <c r="D21" s="12">
        <v>391580.81</v>
      </c>
      <c r="E21" s="13">
        <f t="shared" si="1"/>
        <v>0.99985652530276758</v>
      </c>
      <c r="F21" s="12">
        <f t="shared" si="2"/>
        <v>127.4199999999837</v>
      </c>
      <c r="G21" s="12">
        <v>127.42</v>
      </c>
      <c r="H21" s="12">
        <v>0</v>
      </c>
      <c r="I21" s="14">
        <f t="shared" si="3"/>
        <v>0</v>
      </c>
      <c r="J21" s="14">
        <v>0</v>
      </c>
      <c r="K21" s="14">
        <f t="shared" si="4"/>
        <v>-1.6299850358336698E-11</v>
      </c>
      <c r="L21" s="15">
        <f t="shared" si="6"/>
        <v>0.99967470686025672</v>
      </c>
      <c r="M21" s="16"/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f t="shared" si="5"/>
        <v>0</v>
      </c>
    </row>
    <row r="22" spans="1:24" x14ac:dyDescent="0.3">
      <c r="A22" s="6" t="s">
        <v>50</v>
      </c>
      <c r="B22" s="7"/>
      <c r="C22" s="8"/>
      <c r="D22" s="7"/>
      <c r="E22" s="9"/>
      <c r="F22" s="7"/>
      <c r="G22" s="7"/>
      <c r="H22" s="7"/>
      <c r="I22" s="7"/>
      <c r="J22" s="7"/>
      <c r="K22" s="7"/>
      <c r="L22" s="1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">
      <c r="A23" s="11" t="s">
        <v>29</v>
      </c>
      <c r="B23" s="12">
        <v>12958263.5</v>
      </c>
      <c r="C23" s="12">
        <v>480.94</v>
      </c>
      <c r="D23" s="12">
        <f>12446189.99+(69500+211773.94+84351.06+135000)+11929.45</f>
        <v>12958744.439999999</v>
      </c>
      <c r="E23" s="13">
        <f t="shared" ref="E23:E25" si="7">D23/B23</f>
        <v>1.0000371145408486</v>
      </c>
      <c r="F23" s="12">
        <f t="shared" ref="F23:F25" si="8">B23+C23-D23</f>
        <v>0</v>
      </c>
      <c r="G23" s="12">
        <v>0</v>
      </c>
      <c r="H23" s="12">
        <v>0</v>
      </c>
      <c r="I23" s="14">
        <f t="shared" ref="I23:I25" si="9">X23</f>
        <v>0</v>
      </c>
      <c r="J23" s="14">
        <v>0</v>
      </c>
      <c r="K23" s="14">
        <f t="shared" ref="K23" si="10">F23-(G23+H23-I23-J23)</f>
        <v>0</v>
      </c>
      <c r="L23" s="15">
        <f t="shared" ref="L23:L25" si="11">D23/(B23+C23)</f>
        <v>1</v>
      </c>
      <c r="M23" s="16"/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f t="shared" ref="X23:X25" si="12">SUM(N23:W23)</f>
        <v>0</v>
      </c>
    </row>
    <row r="24" spans="1:24" x14ac:dyDescent="0.3">
      <c r="A24" s="11" t="s">
        <v>36</v>
      </c>
      <c r="B24" s="12">
        <v>46079271</v>
      </c>
      <c r="C24" s="12">
        <v>226053.93</v>
      </c>
      <c r="D24" s="12">
        <f>36267917.14+(33041.02+10004366.77)</f>
        <v>46305324.93</v>
      </c>
      <c r="E24" s="13">
        <f t="shared" si="7"/>
        <v>1.0049057618554773</v>
      </c>
      <c r="F24" s="12">
        <f t="shared" si="8"/>
        <v>0</v>
      </c>
      <c r="G24" s="12">
        <v>-773876.91</v>
      </c>
      <c r="H24" s="12">
        <v>782913.71</v>
      </c>
      <c r="I24" s="14">
        <f t="shared" si="9"/>
        <v>407.93</v>
      </c>
      <c r="J24" s="14">
        <v>0</v>
      </c>
      <c r="K24" s="14">
        <f>F24-(G24+H24-I24-J24)</f>
        <v>-8628.8699999999299</v>
      </c>
      <c r="L24" s="15">
        <f t="shared" si="11"/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47">
        <f>291.37+116.56</f>
        <v>407.93</v>
      </c>
      <c r="W24" s="5">
        <v>0</v>
      </c>
      <c r="X24" s="5">
        <f t="shared" si="12"/>
        <v>407.93</v>
      </c>
    </row>
    <row r="25" spans="1:24" x14ac:dyDescent="0.3">
      <c r="A25" s="11" t="s">
        <v>37</v>
      </c>
      <c r="B25" s="12">
        <v>11859681</v>
      </c>
      <c r="C25" s="12">
        <v>1244.3900000000001</v>
      </c>
      <c r="D25" s="12">
        <f>11357777.88+(165124.76+63000+57693.02+56626.56+55000+105703.17)</f>
        <v>11860925.390000001</v>
      </c>
      <c r="E25" s="13">
        <f t="shared" si="7"/>
        <v>1.000104926093712</v>
      </c>
      <c r="F25" s="12">
        <f t="shared" si="8"/>
        <v>0</v>
      </c>
      <c r="G25" s="12">
        <v>0</v>
      </c>
      <c r="H25" s="12">
        <v>0</v>
      </c>
      <c r="I25" s="14">
        <f t="shared" si="9"/>
        <v>0</v>
      </c>
      <c r="J25" s="14">
        <v>0</v>
      </c>
      <c r="K25" s="14">
        <f t="shared" ref="K25" si="13">F25-(G25+H25-I25-J25)</f>
        <v>0</v>
      </c>
      <c r="L25" s="15">
        <f t="shared" si="11"/>
        <v>1</v>
      </c>
      <c r="M25" s="16"/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f t="shared" si="12"/>
        <v>0</v>
      </c>
    </row>
    <row r="26" spans="1:24" x14ac:dyDescent="0.3">
      <c r="A26" s="6">
        <v>2023</v>
      </c>
      <c r="B26" s="7"/>
      <c r="C26" s="8"/>
      <c r="D26" s="7"/>
      <c r="E26" s="9"/>
      <c r="F26" s="7"/>
      <c r="G26" s="7"/>
      <c r="H26" s="7"/>
      <c r="I26" s="7"/>
      <c r="J26" s="7"/>
      <c r="K26" s="7"/>
      <c r="L26" s="1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">
      <c r="A27" s="11" t="s">
        <v>27</v>
      </c>
      <c r="B27" s="12">
        <v>769635.06</v>
      </c>
      <c r="C27" s="12">
        <v>0</v>
      </c>
      <c r="D27" s="12">
        <f>595863.66+50000+100000</f>
        <v>745863.66</v>
      </c>
      <c r="E27" s="13">
        <f t="shared" ref="E27:E30" si="14">D27/B27</f>
        <v>0.96911341331045908</v>
      </c>
      <c r="F27" s="12">
        <f>B27+C27-D27</f>
        <v>23771.400000000023</v>
      </c>
      <c r="G27" s="12">
        <v>23771.4</v>
      </c>
      <c r="H27" s="12">
        <v>0</v>
      </c>
      <c r="I27" s="14">
        <f t="shared" si="3"/>
        <v>0</v>
      </c>
      <c r="J27" s="14">
        <v>0</v>
      </c>
      <c r="K27" s="14">
        <f t="shared" ref="K27:K30" si="15">F27-(G27+H27-I27-J27)</f>
        <v>0</v>
      </c>
      <c r="L27" s="15">
        <f>D27/(B27+C27)</f>
        <v>0.96911341331045908</v>
      </c>
      <c r="M27" s="16"/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f t="shared" ref="X27:X31" si="16">SUM(N27:W27)</f>
        <v>0</v>
      </c>
    </row>
    <row r="28" spans="1:24" x14ac:dyDescent="0.3">
      <c r="A28" s="11" t="s">
        <v>28</v>
      </c>
      <c r="B28" s="12">
        <v>33423404.960000001</v>
      </c>
      <c r="C28" s="12">
        <f>1+3034.42+931.23</f>
        <v>3966.65</v>
      </c>
      <c r="D28" s="12">
        <f>33910562.13-273335.23</f>
        <v>33637226.900000006</v>
      </c>
      <c r="E28" s="13">
        <f t="shared" si="14"/>
        <v>1.0063973715501429</v>
      </c>
      <c r="F28" s="12">
        <f t="shared" ref="F28:F29" si="17">B28+C28-D28</f>
        <v>-209855.29000000656</v>
      </c>
      <c r="G28" s="12">
        <v>0</v>
      </c>
      <c r="H28" s="12">
        <v>0</v>
      </c>
      <c r="I28" s="14">
        <f t="shared" si="3"/>
        <v>796161</v>
      </c>
      <c r="J28" s="14">
        <v>0</v>
      </c>
      <c r="K28" s="14">
        <f t="shared" si="15"/>
        <v>586305.70999999344</v>
      </c>
      <c r="L28" s="15">
        <f t="shared" ref="L28:L31" si="18">D28/(B28+C28)</f>
        <v>1.0062779476785793</v>
      </c>
      <c r="M28" s="16"/>
      <c r="N28" s="5">
        <v>0</v>
      </c>
      <c r="O28" s="5">
        <v>0</v>
      </c>
      <c r="P28" s="5">
        <v>0</v>
      </c>
      <c r="Q28" s="17">
        <v>796161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f t="shared" si="16"/>
        <v>796161</v>
      </c>
    </row>
    <row r="29" spans="1:24" x14ac:dyDescent="0.3">
      <c r="A29" s="11" t="s">
        <v>29</v>
      </c>
      <c r="B29" s="12">
        <v>12872633.83</v>
      </c>
      <c r="C29" s="12">
        <v>0.01</v>
      </c>
      <c r="D29" s="12">
        <f>15758061.86-1512435</f>
        <v>14245626.859999999</v>
      </c>
      <c r="E29" s="13">
        <f t="shared" si="14"/>
        <v>1.1066598373054164</v>
      </c>
      <c r="F29" s="12">
        <f t="shared" si="17"/>
        <v>-1372993.0199999996</v>
      </c>
      <c r="G29" s="12">
        <v>0</v>
      </c>
      <c r="H29" s="12">
        <v>0</v>
      </c>
      <c r="I29" s="14">
        <f t="shared" si="3"/>
        <v>786687.30999999994</v>
      </c>
      <c r="J29" s="14">
        <v>0</v>
      </c>
      <c r="K29" s="14">
        <f t="shared" si="15"/>
        <v>-586305.70999999961</v>
      </c>
      <c r="L29" s="15">
        <f t="shared" si="18"/>
        <v>1.1066598364457167</v>
      </c>
      <c r="M29" s="16"/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3773.6</v>
      </c>
      <c r="U29" s="5">
        <v>0</v>
      </c>
      <c r="V29" s="17">
        <v>782913.71</v>
      </c>
      <c r="W29" s="5">
        <v>0</v>
      </c>
      <c r="X29" s="5">
        <f t="shared" si="16"/>
        <v>786687.30999999994</v>
      </c>
    </row>
    <row r="30" spans="1:24" x14ac:dyDescent="0.3">
      <c r="A30" s="11" t="s">
        <v>36</v>
      </c>
      <c r="B30" s="12">
        <v>46529702</v>
      </c>
      <c r="C30" s="12">
        <f>1220896.18+17320.63+4327.4+6208.28+0.2+(168662.76+17922.3+4388.14+4330.48)+4963.33+0.18+2016.07+1430.67+5628.27+1053.28+72.09+(216.22)+(70.77+46.51+0.28)</f>
        <v>1459554.0399999998</v>
      </c>
      <c r="D30" s="12">
        <f>35733267.27+3839504.29+3458069.19+4934074.61+4135.42+2956.56+3058.53</f>
        <v>47975065.870000005</v>
      </c>
      <c r="E30" s="13">
        <f t="shared" si="14"/>
        <v>1.0310632522426213</v>
      </c>
      <c r="F30" s="12">
        <f>B30+C30-D30</f>
        <v>14190.169999994338</v>
      </c>
      <c r="G30" s="12">
        <v>12.25</v>
      </c>
      <c r="H30" s="12">
        <f>5561.3</f>
        <v>5561.3</v>
      </c>
      <c r="I30" s="14">
        <f t="shared" si="3"/>
        <v>12.25</v>
      </c>
      <c r="J30" s="14">
        <v>0</v>
      </c>
      <c r="K30" s="14">
        <f t="shared" si="15"/>
        <v>8628.8699999943383</v>
      </c>
      <c r="L30" s="15">
        <f t="shared" si="18"/>
        <v>0.9997043052722433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12.25</v>
      </c>
      <c r="W30" s="5">
        <v>0</v>
      </c>
      <c r="X30" s="5">
        <f t="shared" si="16"/>
        <v>12.25</v>
      </c>
    </row>
    <row r="31" spans="1:24" x14ac:dyDescent="0.3">
      <c r="A31" s="18" t="s">
        <v>40</v>
      </c>
      <c r="B31" s="12">
        <v>0</v>
      </c>
      <c r="C31" s="19">
        <v>0</v>
      </c>
      <c r="D31" s="12">
        <v>0</v>
      </c>
      <c r="E31" s="13">
        <v>0</v>
      </c>
      <c r="F31" s="12">
        <f>B31+C31-D31</f>
        <v>0</v>
      </c>
      <c r="G31" s="12">
        <v>0</v>
      </c>
      <c r="H31" s="12">
        <v>0</v>
      </c>
      <c r="I31" s="14">
        <v>0</v>
      </c>
      <c r="J31" s="14">
        <v>0</v>
      </c>
      <c r="K31" s="14">
        <f>F31-(G31+H31-I31-J31)</f>
        <v>0</v>
      </c>
      <c r="L31" s="15" t="e">
        <f t="shared" si="18"/>
        <v>#DIV/0!</v>
      </c>
      <c r="M31" s="16"/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f t="shared" si="16"/>
        <v>0</v>
      </c>
    </row>
    <row r="32" spans="1:24" x14ac:dyDescent="0.3">
      <c r="A32" s="6">
        <v>2022</v>
      </c>
      <c r="B32" s="7"/>
      <c r="C32" s="8"/>
      <c r="D32" s="7"/>
      <c r="E32" s="9"/>
      <c r="F32" s="7"/>
      <c r="G32" s="7"/>
      <c r="H32" s="7"/>
      <c r="I32" s="7"/>
      <c r="J32" s="7"/>
      <c r="K32" s="7"/>
      <c r="L32" s="10"/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f t="shared" si="5"/>
        <v>0</v>
      </c>
    </row>
    <row r="33" spans="1:26" x14ac:dyDescent="0.3">
      <c r="A33" s="11" t="s">
        <v>28</v>
      </c>
      <c r="B33" s="12">
        <v>34768529.590000004</v>
      </c>
      <c r="C33" s="12">
        <f>22629.12+3329.45</f>
        <v>25958.57</v>
      </c>
      <c r="D33" s="12">
        <f>34787197.98+7290.18</f>
        <v>34794488.159999996</v>
      </c>
      <c r="E33" s="13">
        <f t="shared" ref="E33:E34" si="19">D33/B33</f>
        <v>1.0007466110964744</v>
      </c>
      <c r="F33" s="12">
        <f t="shared" ref="F33" si="20">B33+C33-D33</f>
        <v>0</v>
      </c>
      <c r="G33" s="12">
        <v>0</v>
      </c>
      <c r="H33" s="14">
        <v>0</v>
      </c>
      <c r="I33" s="14">
        <f>X33</f>
        <v>0</v>
      </c>
      <c r="J33" s="14">
        <v>0</v>
      </c>
      <c r="K33" s="14">
        <f t="shared" ref="K33:K34" si="21">F33-(G33+H33-I33-J33)</f>
        <v>0</v>
      </c>
      <c r="L33" s="15">
        <f t="shared" ref="L33:L34" si="22">D33/(B33+C33)</f>
        <v>0.99999999999999978</v>
      </c>
      <c r="M33" s="16"/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f t="shared" si="5"/>
        <v>0</v>
      </c>
    </row>
    <row r="34" spans="1:26" x14ac:dyDescent="0.3">
      <c r="A34" s="11" t="s">
        <v>36</v>
      </c>
      <c r="B34" s="12">
        <v>39686429</v>
      </c>
      <c r="C34" s="12">
        <f>603825.64+1079.7+145.67+89.37+14.17+14.78+14.83+13.92+14.83+14.17+0.48</f>
        <v>605227.56000000006</v>
      </c>
      <c r="D34" s="12">
        <f>25206739.02+2326618.24+4358051.19+8322192.56+76653+0.01-0.03-0.03+1402.12</f>
        <v>40291656.079999991</v>
      </c>
      <c r="E34" s="13">
        <f t="shared" si="19"/>
        <v>1.0152502277289799</v>
      </c>
      <c r="F34" s="12">
        <f>B34+C34-D34</f>
        <v>0.48000001162290573</v>
      </c>
      <c r="G34" s="12">
        <v>0.48</v>
      </c>
      <c r="H34" s="14">
        <v>0</v>
      </c>
      <c r="I34" s="12">
        <f>X34</f>
        <v>0</v>
      </c>
      <c r="J34" s="14">
        <v>0</v>
      </c>
      <c r="K34" s="14">
        <f t="shared" si="21"/>
        <v>1.162290574896474E-8</v>
      </c>
      <c r="L34" s="15">
        <f t="shared" si="22"/>
        <v>0.9999999880868633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f t="shared" si="5"/>
        <v>0</v>
      </c>
    </row>
    <row r="35" spans="1:26" x14ac:dyDescent="0.3">
      <c r="A35" s="11" t="s">
        <v>41</v>
      </c>
      <c r="B35" s="20">
        <f>SUM(B7:B21)</f>
        <v>109183356.5</v>
      </c>
      <c r="C35" s="20"/>
      <c r="D35" s="20">
        <f>SUM(D7:D21)</f>
        <v>97927648.780000001</v>
      </c>
      <c r="E35" s="21"/>
      <c r="F35" s="20">
        <f>SUM(F7:F21)</f>
        <v>11465818.479999995</v>
      </c>
      <c r="G35" s="20">
        <f>SUM(G6:G34)</f>
        <v>7576529.7800000012</v>
      </c>
      <c r="H35" s="20">
        <f>SUM(H7:H34)</f>
        <v>4121276.53</v>
      </c>
      <c r="I35" s="20">
        <f>SUM(I7:I34)</f>
        <v>1776874.0899999999</v>
      </c>
      <c r="J35" s="20">
        <f>SUM(J7:J34)</f>
        <v>0</v>
      </c>
      <c r="K35" s="20">
        <f>SUM(K7:K34)</f>
        <v>-3.4637923640445933E-9</v>
      </c>
      <c r="L35" s="21" t="e">
        <f>D35/#REF!</f>
        <v>#REF!</v>
      </c>
      <c r="N35" s="7">
        <f t="shared" ref="N35:X35" si="23">SUM(N7:N34)</f>
        <v>0</v>
      </c>
      <c r="O35" s="7">
        <f t="shared" si="23"/>
        <v>0</v>
      </c>
      <c r="P35" s="7">
        <f t="shared" si="23"/>
        <v>0</v>
      </c>
      <c r="Q35" s="46">
        <f t="shared" si="23"/>
        <v>796161</v>
      </c>
      <c r="R35" s="46">
        <f t="shared" si="23"/>
        <v>0</v>
      </c>
      <c r="S35" s="46">
        <f t="shared" si="23"/>
        <v>0</v>
      </c>
      <c r="T35" s="46">
        <f t="shared" si="23"/>
        <v>3773.6</v>
      </c>
      <c r="U35" s="46">
        <f t="shared" si="23"/>
        <v>0.95</v>
      </c>
      <c r="V35" s="7">
        <f t="shared" si="23"/>
        <v>976938.53999999992</v>
      </c>
      <c r="W35" s="7">
        <f t="shared" si="23"/>
        <v>0</v>
      </c>
      <c r="X35" s="7">
        <f t="shared" si="23"/>
        <v>1776874.0899999999</v>
      </c>
    </row>
    <row r="36" spans="1:26" x14ac:dyDescent="0.3">
      <c r="A36" s="22"/>
      <c r="B36" s="23"/>
      <c r="C36" s="23"/>
      <c r="D36" s="24"/>
      <c r="E36" s="25"/>
      <c r="G36" s="27"/>
      <c r="H36" s="23"/>
      <c r="I36" s="28"/>
      <c r="J36" s="28"/>
      <c r="K36" s="28"/>
      <c r="L36" s="2"/>
      <c r="T36" s="26"/>
      <c r="U36" s="26"/>
      <c r="V36" s="26"/>
    </row>
    <row r="37" spans="1:26" x14ac:dyDescent="0.3">
      <c r="A37" s="2"/>
      <c r="B37" s="29"/>
      <c r="C37" s="29"/>
      <c r="D37" s="29"/>
      <c r="E37" s="30"/>
      <c r="F37" s="31"/>
      <c r="G37" s="31"/>
      <c r="H37" s="28"/>
      <c r="I37" s="28"/>
      <c r="J37" s="28"/>
      <c r="K37" s="28"/>
    </row>
    <row r="38" spans="1:26" ht="17.399999999999999" x14ac:dyDescent="0.35">
      <c r="A38" s="32"/>
      <c r="B38" s="33"/>
      <c r="C38" s="33"/>
      <c r="D38" s="34"/>
      <c r="E38" s="32"/>
      <c r="F38" s="69" t="s">
        <v>42</v>
      </c>
      <c r="G38" s="69"/>
      <c r="H38" s="34"/>
      <c r="I38" s="69" t="s">
        <v>43</v>
      </c>
      <c r="J38" s="69"/>
      <c r="K38" s="69"/>
      <c r="L38" s="2"/>
      <c r="M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7.399999999999999" x14ac:dyDescent="0.35">
      <c r="A39" s="32"/>
      <c r="B39" s="33"/>
      <c r="C39" s="33"/>
      <c r="D39" s="34"/>
      <c r="E39" s="32"/>
      <c r="F39" s="36"/>
      <c r="G39" s="36"/>
      <c r="H39" s="34"/>
      <c r="I39" s="33"/>
      <c r="J39" s="33"/>
      <c r="K39" s="33"/>
      <c r="L39" s="32"/>
      <c r="M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7.399999999999999" x14ac:dyDescent="0.35">
      <c r="A40" s="32"/>
      <c r="B40" s="33"/>
      <c r="C40" s="33"/>
      <c r="D40" s="34"/>
      <c r="E40" s="32"/>
      <c r="F40" s="36"/>
      <c r="G40" s="36"/>
      <c r="H40" s="34"/>
      <c r="I40" s="33"/>
      <c r="J40" s="33"/>
      <c r="K40" s="33"/>
      <c r="L40" s="32"/>
      <c r="M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7.399999999999999" x14ac:dyDescent="0.35">
      <c r="A41" s="67" t="s">
        <v>48</v>
      </c>
      <c r="B41" s="67"/>
      <c r="C41" s="67"/>
      <c r="D41" s="67" t="s">
        <v>49</v>
      </c>
      <c r="E41" s="67"/>
      <c r="F41" s="67"/>
      <c r="G41" s="67"/>
      <c r="H41" s="67"/>
      <c r="I41" s="67" t="s">
        <v>45</v>
      </c>
      <c r="J41" s="67"/>
      <c r="K41" s="67"/>
      <c r="L41" s="67"/>
      <c r="M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7.399999999999999" x14ac:dyDescent="0.35">
      <c r="A42" s="67" t="s">
        <v>44</v>
      </c>
      <c r="B42" s="67"/>
      <c r="C42" s="67"/>
      <c r="D42" s="68" t="s">
        <v>47</v>
      </c>
      <c r="E42" s="68"/>
      <c r="F42" s="68"/>
      <c r="G42" s="68"/>
      <c r="H42" s="68"/>
      <c r="I42" s="68" t="s">
        <v>46</v>
      </c>
      <c r="J42" s="68"/>
      <c r="K42" s="68"/>
      <c r="L42" s="68"/>
      <c r="M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4" spans="1:26" x14ac:dyDescent="0.3">
      <c r="H44" s="37"/>
      <c r="Y44" s="26"/>
      <c r="Z44" s="26"/>
    </row>
  </sheetData>
  <mergeCells count="23">
    <mergeCell ref="A1:L1"/>
    <mergeCell ref="A2:L2"/>
    <mergeCell ref="B3:F3"/>
    <mergeCell ref="G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41:C41"/>
    <mergeCell ref="D41:H41"/>
    <mergeCell ref="I41:L41"/>
    <mergeCell ref="A42:C42"/>
    <mergeCell ref="D42:H42"/>
    <mergeCell ref="I42:L42"/>
    <mergeCell ref="F38:G38"/>
    <mergeCell ref="I38:K38"/>
  </mergeCells>
  <conditionalFormatting sqref="F7:F21 F23:F25 F27:F31 F33:F3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5" zoomScaleNormal="115" workbookViewId="0">
      <selection activeCell="C9" sqref="C9"/>
    </sheetView>
  </sheetViews>
  <sheetFormatPr baseColWidth="10" defaultColWidth="11.44140625" defaultRowHeight="13.8" x14ac:dyDescent="0.3"/>
  <cols>
    <col min="1" max="2" width="11.44140625" style="40"/>
    <col min="3" max="3" width="60.109375" style="40" bestFit="1" customWidth="1"/>
    <col min="4" max="4" width="15.5546875" style="40" bestFit="1" customWidth="1"/>
    <col min="5" max="16384" width="11.44140625" style="40"/>
  </cols>
  <sheetData>
    <row r="1" spans="1:4" x14ac:dyDescent="0.3">
      <c r="A1" s="72" t="s">
        <v>83</v>
      </c>
      <c r="B1" s="72"/>
      <c r="C1" s="72"/>
      <c r="D1" s="45" t="s">
        <v>132</v>
      </c>
    </row>
    <row r="2" spans="1:4" x14ac:dyDescent="0.3">
      <c r="A2" s="44" t="s">
        <v>54</v>
      </c>
      <c r="B2" s="44" t="s">
        <v>55</v>
      </c>
      <c r="C2" s="44" t="s">
        <v>56</v>
      </c>
      <c r="D2" s="45" t="s">
        <v>134</v>
      </c>
    </row>
    <row r="3" spans="1:4" x14ac:dyDescent="0.3">
      <c r="A3" s="40" t="s">
        <v>57</v>
      </c>
      <c r="B3" s="41" t="s">
        <v>58</v>
      </c>
      <c r="C3" s="40" t="s">
        <v>59</v>
      </c>
      <c r="D3" s="48">
        <v>791124.91</v>
      </c>
    </row>
    <row r="4" spans="1:4" x14ac:dyDescent="0.3">
      <c r="A4" s="40" t="s">
        <v>57</v>
      </c>
      <c r="B4" s="41" t="s">
        <v>60</v>
      </c>
      <c r="C4" s="40" t="s">
        <v>61</v>
      </c>
      <c r="D4" s="48">
        <v>791124.91</v>
      </c>
    </row>
    <row r="5" spans="1:4" x14ac:dyDescent="0.3">
      <c r="A5" s="40" t="s">
        <v>57</v>
      </c>
      <c r="B5" s="41" t="s">
        <v>62</v>
      </c>
      <c r="C5" s="40" t="s">
        <v>63</v>
      </c>
      <c r="D5" s="48">
        <v>788475.01</v>
      </c>
    </row>
    <row r="6" spans="1:4" x14ac:dyDescent="0.3">
      <c r="A6" s="40" t="s">
        <v>57</v>
      </c>
      <c r="B6" s="41" t="s">
        <v>64</v>
      </c>
      <c r="C6" s="40" t="s">
        <v>65</v>
      </c>
      <c r="D6" s="48">
        <v>788475.01</v>
      </c>
    </row>
    <row r="7" spans="1:4" x14ac:dyDescent="0.3">
      <c r="A7" s="40" t="s">
        <v>57</v>
      </c>
      <c r="B7" s="41" t="s">
        <v>66</v>
      </c>
      <c r="C7" s="40" t="s">
        <v>67</v>
      </c>
      <c r="D7" s="48">
        <v>5561.3</v>
      </c>
    </row>
    <row r="8" spans="1:4" x14ac:dyDescent="0.3">
      <c r="A8" s="40" t="s">
        <v>57</v>
      </c>
      <c r="B8" s="41" t="s">
        <v>68</v>
      </c>
      <c r="C8" s="40" t="s">
        <v>69</v>
      </c>
      <c r="D8" s="48">
        <v>782913.71</v>
      </c>
    </row>
    <row r="9" spans="1:4" x14ac:dyDescent="0.3">
      <c r="A9" s="40" t="s">
        <v>57</v>
      </c>
      <c r="B9" s="41" t="s">
        <v>70</v>
      </c>
      <c r="C9" s="40" t="s">
        <v>71</v>
      </c>
      <c r="D9" s="48">
        <v>2649.9</v>
      </c>
    </row>
    <row r="10" spans="1:4" x14ac:dyDescent="0.3">
      <c r="A10" s="40" t="s">
        <v>57</v>
      </c>
      <c r="B10" s="41" t="s">
        <v>157</v>
      </c>
      <c r="C10" s="40" t="s">
        <v>158</v>
      </c>
      <c r="D10" s="48">
        <v>0</v>
      </c>
    </row>
    <row r="11" spans="1:4" x14ac:dyDescent="0.3">
      <c r="A11" s="40" t="s">
        <v>57</v>
      </c>
      <c r="B11" s="41" t="s">
        <v>159</v>
      </c>
      <c r="C11" s="40" t="s">
        <v>160</v>
      </c>
      <c r="D11" s="48">
        <v>0</v>
      </c>
    </row>
    <row r="12" spans="1:4" x14ac:dyDescent="0.3">
      <c r="A12" s="40" t="s">
        <v>57</v>
      </c>
      <c r="B12" s="41" t="s">
        <v>161</v>
      </c>
      <c r="C12" s="40" t="s">
        <v>73</v>
      </c>
      <c r="D12" s="48">
        <v>0</v>
      </c>
    </row>
    <row r="13" spans="1:4" x14ac:dyDescent="0.3">
      <c r="A13" s="40" t="s">
        <v>57</v>
      </c>
      <c r="B13" s="41" t="s">
        <v>162</v>
      </c>
      <c r="C13" s="40" t="s">
        <v>72</v>
      </c>
      <c r="D13" s="48">
        <v>0</v>
      </c>
    </row>
    <row r="14" spans="1:4" x14ac:dyDescent="0.3">
      <c r="A14" s="40" t="s">
        <v>57</v>
      </c>
      <c r="B14" s="41" t="s">
        <v>163</v>
      </c>
      <c r="C14" s="40" t="s">
        <v>164</v>
      </c>
      <c r="D14" s="48">
        <v>1148.4000000000001</v>
      </c>
    </row>
    <row r="15" spans="1:4" x14ac:dyDescent="0.3">
      <c r="A15" s="40" t="s">
        <v>57</v>
      </c>
      <c r="B15" s="41" t="s">
        <v>165</v>
      </c>
      <c r="C15" s="40" t="s">
        <v>166</v>
      </c>
      <c r="D15" s="48">
        <v>1148.4000000000001</v>
      </c>
    </row>
    <row r="16" spans="1:4" x14ac:dyDescent="0.3">
      <c r="A16" s="40" t="s">
        <v>57</v>
      </c>
      <c r="B16" s="41" t="s">
        <v>167</v>
      </c>
      <c r="C16" s="40" t="s">
        <v>169</v>
      </c>
      <c r="D16" s="48">
        <v>353.1</v>
      </c>
    </row>
    <row r="17" spans="1:4" x14ac:dyDescent="0.3">
      <c r="A17" s="40" t="s">
        <v>57</v>
      </c>
      <c r="B17" s="41" t="s">
        <v>168</v>
      </c>
      <c r="C17" s="40" t="s">
        <v>166</v>
      </c>
      <c r="D17" s="48">
        <v>353.1</v>
      </c>
    </row>
    <row r="18" spans="1:4" x14ac:dyDescent="0.3">
      <c r="A18" s="40" t="s">
        <v>57</v>
      </c>
      <c r="B18" s="41" t="s">
        <v>74</v>
      </c>
      <c r="C18" s="40" t="s">
        <v>75</v>
      </c>
      <c r="D18" s="48">
        <v>1148.4000000000001</v>
      </c>
    </row>
    <row r="19" spans="1:4" x14ac:dyDescent="0.3">
      <c r="A19" s="40" t="s">
        <v>57</v>
      </c>
      <c r="B19" s="41" t="s">
        <v>170</v>
      </c>
      <c r="C19" s="40" t="s">
        <v>166</v>
      </c>
      <c r="D19" s="48">
        <v>1148.4000000000001</v>
      </c>
    </row>
    <row r="20" spans="1:4" x14ac:dyDescent="0.3">
      <c r="A20" s="40" t="s">
        <v>57</v>
      </c>
      <c r="B20" s="41" t="s">
        <v>76</v>
      </c>
      <c r="C20" s="40" t="s">
        <v>77</v>
      </c>
      <c r="D20" s="48">
        <v>3330151.62</v>
      </c>
    </row>
    <row r="21" spans="1:4" ht="27.6" x14ac:dyDescent="0.3">
      <c r="A21" s="40" t="s">
        <v>57</v>
      </c>
      <c r="B21" s="41" t="s">
        <v>171</v>
      </c>
      <c r="C21" s="53" t="s">
        <v>175</v>
      </c>
      <c r="D21" s="48">
        <v>0</v>
      </c>
    </row>
    <row r="22" spans="1:4" x14ac:dyDescent="0.3">
      <c r="A22" s="40" t="s">
        <v>57</v>
      </c>
      <c r="B22" s="41" t="s">
        <v>172</v>
      </c>
      <c r="C22" s="40" t="s">
        <v>160</v>
      </c>
      <c r="D22" s="48">
        <v>0</v>
      </c>
    </row>
    <row r="23" spans="1:4" x14ac:dyDescent="0.3">
      <c r="A23" s="40" t="s">
        <v>57</v>
      </c>
      <c r="B23" s="41" t="s">
        <v>173</v>
      </c>
      <c r="C23" s="40" t="s">
        <v>174</v>
      </c>
      <c r="D23" s="48">
        <v>0</v>
      </c>
    </row>
    <row r="24" spans="1:4" x14ac:dyDescent="0.3">
      <c r="A24" s="40" t="s">
        <v>57</v>
      </c>
      <c r="B24" s="41" t="s">
        <v>78</v>
      </c>
      <c r="C24" s="40" t="s">
        <v>79</v>
      </c>
      <c r="D24" s="48">
        <v>3330151.62</v>
      </c>
    </row>
    <row r="25" spans="1:4" x14ac:dyDescent="0.3">
      <c r="A25" s="40" t="s">
        <v>57</v>
      </c>
      <c r="B25" s="41" t="s">
        <v>80</v>
      </c>
      <c r="C25" s="40" t="s">
        <v>81</v>
      </c>
      <c r="D25" s="48">
        <v>3330151.62</v>
      </c>
    </row>
    <row r="26" spans="1:4" x14ac:dyDescent="0.3">
      <c r="A26" s="40" t="s">
        <v>57</v>
      </c>
      <c r="B26" s="41" t="s">
        <v>147</v>
      </c>
      <c r="C26" s="40" t="s">
        <v>148</v>
      </c>
      <c r="D26" s="48">
        <v>0</v>
      </c>
    </row>
    <row r="27" spans="1:4" x14ac:dyDescent="0.3">
      <c r="A27" s="40" t="s">
        <v>57</v>
      </c>
      <c r="B27" s="41" t="s">
        <v>149</v>
      </c>
      <c r="C27" s="40" t="s">
        <v>150</v>
      </c>
      <c r="D27" s="48">
        <v>197737.89</v>
      </c>
    </row>
    <row r="28" spans="1:4" x14ac:dyDescent="0.3">
      <c r="A28" s="40" t="s">
        <v>57</v>
      </c>
      <c r="B28" s="41" t="s">
        <v>151</v>
      </c>
      <c r="C28" s="40" t="s">
        <v>152</v>
      </c>
      <c r="D28" s="48">
        <v>0</v>
      </c>
    </row>
    <row r="29" spans="1:4" x14ac:dyDescent="0.3">
      <c r="A29" s="40" t="s">
        <v>57</v>
      </c>
      <c r="B29" s="41" t="s">
        <v>182</v>
      </c>
      <c r="C29" s="40" t="s">
        <v>176</v>
      </c>
      <c r="D29" s="48">
        <v>245776.55</v>
      </c>
    </row>
    <row r="30" spans="1:4" x14ac:dyDescent="0.3">
      <c r="A30" s="40" t="s">
        <v>57</v>
      </c>
      <c r="B30" s="41" t="s">
        <v>183</v>
      </c>
      <c r="C30" s="40" t="s">
        <v>177</v>
      </c>
      <c r="D30" s="48">
        <v>407817.74</v>
      </c>
    </row>
    <row r="31" spans="1:4" x14ac:dyDescent="0.3">
      <c r="A31" s="40" t="s">
        <v>57</v>
      </c>
      <c r="B31" s="41" t="s">
        <v>184</v>
      </c>
      <c r="C31" s="40" t="s">
        <v>178</v>
      </c>
      <c r="D31" s="48">
        <v>1291781</v>
      </c>
    </row>
    <row r="32" spans="1:4" x14ac:dyDescent="0.3">
      <c r="A32" s="40" t="s">
        <v>57</v>
      </c>
      <c r="B32" s="41" t="s">
        <v>185</v>
      </c>
      <c r="C32" s="40" t="s">
        <v>179</v>
      </c>
      <c r="D32" s="48">
        <v>840559.7</v>
      </c>
    </row>
    <row r="33" spans="1:4" x14ac:dyDescent="0.3">
      <c r="A33" s="40" t="s">
        <v>57</v>
      </c>
      <c r="B33" s="41" t="s">
        <v>186</v>
      </c>
      <c r="C33" s="40" t="s">
        <v>180</v>
      </c>
      <c r="D33" s="48">
        <v>346478.74</v>
      </c>
    </row>
    <row r="34" spans="1:4" x14ac:dyDescent="0.3">
      <c r="A34" s="40" t="s">
        <v>57</v>
      </c>
      <c r="B34" s="41" t="s">
        <v>187</v>
      </c>
      <c r="C34" s="40" t="s">
        <v>181</v>
      </c>
      <c r="D34" s="48">
        <v>0</v>
      </c>
    </row>
    <row r="35" spans="1:4" x14ac:dyDescent="0.3">
      <c r="A35" s="42"/>
      <c r="B35" s="43"/>
      <c r="C35" s="42" t="s">
        <v>82</v>
      </c>
      <c r="D35" s="49">
        <f>+D20+D3</f>
        <v>4121276.5300000003</v>
      </c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115" zoomScaleNormal="115" workbookViewId="0">
      <selection activeCell="C5" sqref="C5"/>
    </sheetView>
  </sheetViews>
  <sheetFormatPr baseColWidth="10" defaultColWidth="11.44140625" defaultRowHeight="13.8" x14ac:dyDescent="0.3"/>
  <cols>
    <col min="1" max="2" width="11.44140625" style="40"/>
    <col min="3" max="3" width="49.6640625" style="40" bestFit="1" customWidth="1"/>
    <col min="4" max="4" width="15.5546875" style="50" bestFit="1" customWidth="1"/>
    <col min="5" max="16384" width="11.44140625" style="40"/>
  </cols>
  <sheetData>
    <row r="1" spans="1:4" x14ac:dyDescent="0.3">
      <c r="A1" s="72" t="s">
        <v>131</v>
      </c>
      <c r="B1" s="72"/>
      <c r="C1" s="72"/>
      <c r="D1" s="51" t="s">
        <v>132</v>
      </c>
    </row>
    <row r="2" spans="1:4" x14ac:dyDescent="0.3">
      <c r="A2" s="44" t="s">
        <v>54</v>
      </c>
      <c r="B2" s="44" t="s">
        <v>55</v>
      </c>
      <c r="C2" s="44" t="s">
        <v>56</v>
      </c>
      <c r="D2" s="51" t="s">
        <v>133</v>
      </c>
    </row>
    <row r="3" spans="1:4" x14ac:dyDescent="0.3">
      <c r="A3" s="40" t="s">
        <v>84</v>
      </c>
      <c r="B3" s="41" t="s">
        <v>85</v>
      </c>
      <c r="C3" s="40" t="s">
        <v>86</v>
      </c>
      <c r="D3" s="50">
        <v>1776874.09</v>
      </c>
    </row>
    <row r="4" spans="1:4" x14ac:dyDescent="0.3">
      <c r="A4" s="40" t="s">
        <v>84</v>
      </c>
      <c r="B4" s="41" t="s">
        <v>87</v>
      </c>
      <c r="C4" s="40" t="s">
        <v>88</v>
      </c>
      <c r="D4" s="50">
        <v>1776874.09</v>
      </c>
    </row>
    <row r="5" spans="1:4" x14ac:dyDescent="0.3">
      <c r="A5" s="40" t="s">
        <v>84</v>
      </c>
      <c r="B5" s="41" t="s">
        <v>153</v>
      </c>
      <c r="C5" s="40" t="s">
        <v>154</v>
      </c>
      <c r="D5" s="50">
        <v>0</v>
      </c>
    </row>
    <row r="6" spans="1:4" x14ac:dyDescent="0.3">
      <c r="A6" s="40" t="s">
        <v>84</v>
      </c>
      <c r="B6" s="41" t="s">
        <v>155</v>
      </c>
      <c r="C6" s="40" t="s">
        <v>156</v>
      </c>
      <c r="D6" s="50">
        <v>0</v>
      </c>
    </row>
    <row r="7" spans="1:4" x14ac:dyDescent="0.3">
      <c r="A7" s="40" t="s">
        <v>84</v>
      </c>
      <c r="B7" s="41" t="s">
        <v>137</v>
      </c>
      <c r="C7" s="40" t="s">
        <v>138</v>
      </c>
      <c r="D7" s="50">
        <v>0</v>
      </c>
    </row>
    <row r="8" spans="1:4" x14ac:dyDescent="0.3">
      <c r="A8" s="40" t="s">
        <v>84</v>
      </c>
      <c r="B8" s="41" t="s">
        <v>139</v>
      </c>
      <c r="C8" s="40" t="s">
        <v>140</v>
      </c>
      <c r="D8" s="50">
        <v>0</v>
      </c>
    </row>
    <row r="9" spans="1:4" x14ac:dyDescent="0.3">
      <c r="A9" s="40" t="s">
        <v>84</v>
      </c>
      <c r="B9" s="41" t="s">
        <v>141</v>
      </c>
      <c r="C9" s="40" t="s">
        <v>142</v>
      </c>
      <c r="D9" s="50">
        <v>0</v>
      </c>
    </row>
    <row r="10" spans="1:4" x14ac:dyDescent="0.3">
      <c r="A10" s="40" t="s">
        <v>84</v>
      </c>
      <c r="B10" s="41" t="s">
        <v>89</v>
      </c>
      <c r="C10" s="40" t="s">
        <v>90</v>
      </c>
      <c r="D10" s="50">
        <v>799935.55</v>
      </c>
    </row>
    <row r="11" spans="1:4" x14ac:dyDescent="0.3">
      <c r="A11" s="40" t="s">
        <v>84</v>
      </c>
      <c r="B11" s="41" t="s">
        <v>91</v>
      </c>
      <c r="C11" s="40" t="s">
        <v>92</v>
      </c>
      <c r="D11" s="50">
        <v>796161</v>
      </c>
    </row>
    <row r="12" spans="1:4" x14ac:dyDescent="0.3">
      <c r="A12" s="40" t="s">
        <v>84</v>
      </c>
      <c r="B12" s="41" t="s">
        <v>93</v>
      </c>
      <c r="C12" s="40" t="s">
        <v>94</v>
      </c>
      <c r="D12" s="50">
        <v>796161</v>
      </c>
    </row>
    <row r="13" spans="1:4" x14ac:dyDescent="0.3">
      <c r="A13" s="40" t="s">
        <v>84</v>
      </c>
      <c r="B13" s="41" t="s">
        <v>95</v>
      </c>
      <c r="C13" s="40" t="s">
        <v>96</v>
      </c>
      <c r="D13" s="50">
        <v>796161</v>
      </c>
    </row>
    <row r="14" spans="1:4" x14ac:dyDescent="0.3">
      <c r="A14" s="40" t="s">
        <v>84</v>
      </c>
      <c r="B14" s="41" t="s">
        <v>97</v>
      </c>
      <c r="C14" s="40" t="s">
        <v>98</v>
      </c>
      <c r="D14" s="50">
        <v>0</v>
      </c>
    </row>
    <row r="15" spans="1:4" x14ac:dyDescent="0.3">
      <c r="A15" s="40" t="s">
        <v>84</v>
      </c>
      <c r="B15" s="41" t="s">
        <v>99</v>
      </c>
      <c r="C15" s="40" t="s">
        <v>100</v>
      </c>
      <c r="D15" s="50">
        <v>0</v>
      </c>
    </row>
    <row r="16" spans="1:4" x14ac:dyDescent="0.3">
      <c r="A16" s="40" t="s">
        <v>84</v>
      </c>
      <c r="B16" s="41" t="s">
        <v>101</v>
      </c>
      <c r="C16" s="40" t="s">
        <v>102</v>
      </c>
      <c r="D16" s="50">
        <v>0</v>
      </c>
    </row>
    <row r="17" spans="1:4" x14ac:dyDescent="0.3">
      <c r="A17" s="40" t="s">
        <v>84</v>
      </c>
      <c r="B17" s="41" t="s">
        <v>103</v>
      </c>
      <c r="C17" s="40" t="s">
        <v>104</v>
      </c>
      <c r="D17" s="50">
        <v>0</v>
      </c>
    </row>
    <row r="18" spans="1:4" x14ac:dyDescent="0.3">
      <c r="A18" s="40" t="s">
        <v>84</v>
      </c>
      <c r="B18" s="41" t="s">
        <v>105</v>
      </c>
      <c r="C18" s="40" t="s">
        <v>106</v>
      </c>
      <c r="D18" s="50">
        <v>3773.6</v>
      </c>
    </row>
    <row r="19" spans="1:4" x14ac:dyDescent="0.3">
      <c r="A19" s="40" t="s">
        <v>84</v>
      </c>
      <c r="B19" s="41" t="s">
        <v>107</v>
      </c>
      <c r="C19" s="40" t="s">
        <v>108</v>
      </c>
      <c r="D19" s="50">
        <v>3773.6</v>
      </c>
    </row>
    <row r="20" spans="1:4" x14ac:dyDescent="0.3">
      <c r="A20" s="40" t="s">
        <v>84</v>
      </c>
      <c r="B20" s="41" t="s">
        <v>109</v>
      </c>
      <c r="C20" s="40" t="s">
        <v>110</v>
      </c>
      <c r="D20" s="50">
        <v>0.95</v>
      </c>
    </row>
    <row r="21" spans="1:4" x14ac:dyDescent="0.3">
      <c r="A21" s="40" t="s">
        <v>84</v>
      </c>
      <c r="B21" s="41" t="s">
        <v>111</v>
      </c>
      <c r="C21" s="40" t="s">
        <v>112</v>
      </c>
      <c r="D21" s="50">
        <v>0.95</v>
      </c>
    </row>
    <row r="22" spans="1:4" x14ac:dyDescent="0.3">
      <c r="A22" s="40" t="s">
        <v>84</v>
      </c>
      <c r="B22" s="41" t="s">
        <v>113</v>
      </c>
      <c r="C22" s="40" t="s">
        <v>114</v>
      </c>
      <c r="D22" s="50">
        <v>0.95</v>
      </c>
    </row>
    <row r="23" spans="1:4" x14ac:dyDescent="0.3">
      <c r="A23" s="40" t="s">
        <v>84</v>
      </c>
      <c r="B23" s="41" t="s">
        <v>188</v>
      </c>
      <c r="C23" s="40" t="s">
        <v>189</v>
      </c>
      <c r="D23" s="50">
        <v>0</v>
      </c>
    </row>
    <row r="24" spans="1:4" x14ac:dyDescent="0.3">
      <c r="A24" s="40" t="s">
        <v>84</v>
      </c>
      <c r="B24" s="41" t="s">
        <v>113</v>
      </c>
      <c r="C24" s="40" t="s">
        <v>160</v>
      </c>
      <c r="D24" s="50">
        <v>0</v>
      </c>
    </row>
    <row r="25" spans="1:4" x14ac:dyDescent="0.3">
      <c r="A25" s="40" t="s">
        <v>84</v>
      </c>
      <c r="B25" s="41" t="s">
        <v>115</v>
      </c>
      <c r="C25" s="40" t="s">
        <v>116</v>
      </c>
      <c r="D25" s="50">
        <v>976938.54</v>
      </c>
    </row>
    <row r="26" spans="1:4" x14ac:dyDescent="0.3">
      <c r="A26" s="40" t="s">
        <v>84</v>
      </c>
      <c r="B26" s="41" t="s">
        <v>117</v>
      </c>
      <c r="C26" s="40" t="s">
        <v>118</v>
      </c>
      <c r="D26" s="50">
        <v>193604.65</v>
      </c>
    </row>
    <row r="27" spans="1:4" x14ac:dyDescent="0.3">
      <c r="A27" s="40" t="s">
        <v>84</v>
      </c>
      <c r="B27" s="41" t="s">
        <v>194</v>
      </c>
      <c r="C27" s="40" t="s">
        <v>195</v>
      </c>
      <c r="D27" s="50">
        <v>193604.65</v>
      </c>
    </row>
    <row r="28" spans="1:4" x14ac:dyDescent="0.3">
      <c r="A28" s="40" t="s">
        <v>84</v>
      </c>
      <c r="B28" s="41" t="s">
        <v>119</v>
      </c>
      <c r="C28" s="40" t="s">
        <v>196</v>
      </c>
      <c r="D28" s="50">
        <v>193604.64</v>
      </c>
    </row>
    <row r="29" spans="1:4" x14ac:dyDescent="0.3">
      <c r="A29" s="40" t="s">
        <v>84</v>
      </c>
      <c r="B29" s="41" t="s">
        <v>190</v>
      </c>
      <c r="C29" s="40" t="s">
        <v>191</v>
      </c>
      <c r="D29" s="50">
        <v>0</v>
      </c>
    </row>
    <row r="30" spans="1:4" x14ac:dyDescent="0.3">
      <c r="A30" s="40" t="s">
        <v>84</v>
      </c>
      <c r="B30" s="41" t="s">
        <v>190</v>
      </c>
      <c r="C30" s="40" t="s">
        <v>120</v>
      </c>
      <c r="D30" s="50">
        <v>0</v>
      </c>
    </row>
    <row r="31" spans="1:4" x14ac:dyDescent="0.3">
      <c r="A31" s="40" t="s">
        <v>84</v>
      </c>
      <c r="B31" s="41" t="s">
        <v>143</v>
      </c>
      <c r="C31" s="40" t="s">
        <v>144</v>
      </c>
      <c r="D31" s="50">
        <v>0</v>
      </c>
    </row>
    <row r="32" spans="1:4" x14ac:dyDescent="0.3">
      <c r="A32" s="40" t="s">
        <v>84</v>
      </c>
      <c r="B32" s="41" t="s">
        <v>122</v>
      </c>
      <c r="C32" s="40" t="s">
        <v>123</v>
      </c>
      <c r="D32" s="50">
        <v>782913.71</v>
      </c>
    </row>
    <row r="33" spans="1:4" x14ac:dyDescent="0.3">
      <c r="A33" s="40" t="s">
        <v>84</v>
      </c>
      <c r="B33" s="41" t="s">
        <v>124</v>
      </c>
      <c r="C33" s="40" t="s">
        <v>121</v>
      </c>
      <c r="D33" s="50">
        <v>782913.71</v>
      </c>
    </row>
    <row r="34" spans="1:4" x14ac:dyDescent="0.3">
      <c r="A34" s="40" t="s">
        <v>84</v>
      </c>
      <c r="B34" s="41" t="s">
        <v>125</v>
      </c>
      <c r="C34" s="40" t="s">
        <v>126</v>
      </c>
      <c r="D34" s="50">
        <v>420.18</v>
      </c>
    </row>
    <row r="35" spans="1:4" x14ac:dyDescent="0.3">
      <c r="A35" s="40" t="s">
        <v>84</v>
      </c>
      <c r="B35" s="41" t="s">
        <v>127</v>
      </c>
      <c r="C35" s="40" t="s">
        <v>128</v>
      </c>
      <c r="D35" s="50">
        <v>0</v>
      </c>
    </row>
    <row r="36" spans="1:4" x14ac:dyDescent="0.3">
      <c r="A36" s="40" t="s">
        <v>84</v>
      </c>
      <c r="B36" s="41" t="s">
        <v>145</v>
      </c>
      <c r="C36" s="40" t="s">
        <v>146</v>
      </c>
      <c r="D36" s="50">
        <v>12.25</v>
      </c>
    </row>
    <row r="37" spans="1:4" x14ac:dyDescent="0.3">
      <c r="A37" s="40" t="s">
        <v>84</v>
      </c>
      <c r="B37" s="41" t="s">
        <v>129</v>
      </c>
      <c r="C37" s="40" t="s">
        <v>130</v>
      </c>
      <c r="D37" s="50">
        <v>407.93</v>
      </c>
    </row>
    <row r="38" spans="1:4" x14ac:dyDescent="0.3">
      <c r="A38" s="42"/>
      <c r="B38" s="43"/>
      <c r="C38" s="42" t="s">
        <v>82</v>
      </c>
      <c r="D38" s="52">
        <f>+D25+D10+D5</f>
        <v>1776874.09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Ene-Mar</vt:lpstr>
      <vt:lpstr>Abr-Jun</vt:lpstr>
      <vt:lpstr>Jul-Sep</vt:lpstr>
      <vt:lpstr>Oct-Dic</vt:lpstr>
      <vt:lpstr>Deudoras</vt:lpstr>
      <vt:lpstr>Acreedoras</vt:lpstr>
      <vt:lpstr>'Abr-Jun'!Área_de_impresión</vt:lpstr>
      <vt:lpstr>'Ene-Mar'!Área_de_impresión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Cruz Melo</cp:lastModifiedBy>
  <dcterms:created xsi:type="dcterms:W3CDTF">2025-01-15T04:49:26Z</dcterms:created>
  <dcterms:modified xsi:type="dcterms:W3CDTF">2026-04-29T02:06:27Z</dcterms:modified>
</cp:coreProperties>
</file>